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3'!$E$1:$Q$192</definedName>
    <definedName name="_xlnm.Print_Titles" localSheetId="0">'дод 3'!$6:$10</definedName>
    <definedName name="_xlnm.Print_Area" localSheetId="0">'дод 3'!$A$1:$Q$189</definedName>
  </definedNames>
  <calcPr calcId="125725"/>
</workbook>
</file>

<file path=xl/calcChain.xml><?xml version="1.0" encoding="utf-8"?>
<calcChain xmlns="http://schemas.openxmlformats.org/spreadsheetml/2006/main">
  <c r="P52" i="4"/>
  <c r="L52"/>
  <c r="G52"/>
  <c r="J145"/>
  <c r="G160"/>
  <c r="L160"/>
  <c r="P61"/>
  <c r="L61"/>
  <c r="L149"/>
  <c r="L153"/>
  <c r="Q141"/>
  <c r="K141"/>
  <c r="G146"/>
  <c r="I52"/>
  <c r="I51"/>
  <c r="K127"/>
  <c r="F127"/>
  <c r="Q127" s="1"/>
  <c r="I59"/>
  <c r="H59"/>
  <c r="G59"/>
  <c r="H51"/>
  <c r="G51"/>
  <c r="P59"/>
  <c r="L59"/>
  <c r="P36"/>
  <c r="L36"/>
  <c r="P15"/>
  <c r="L15"/>
  <c r="G15"/>
  <c r="G41"/>
  <c r="G14"/>
  <c r="P30"/>
  <c r="L30"/>
  <c r="G30"/>
  <c r="F185"/>
  <c r="L146"/>
  <c r="P16"/>
  <c r="L16"/>
  <c r="G176"/>
  <c r="G115"/>
  <c r="G17"/>
  <c r="G16"/>
  <c r="H97"/>
  <c r="G97"/>
  <c r="H52"/>
  <c r="G22"/>
  <c r="F137"/>
  <c r="F138"/>
  <c r="F139"/>
  <c r="F140"/>
  <c r="F141"/>
  <c r="G25"/>
  <c r="G165"/>
  <c r="G31"/>
  <c r="J164"/>
  <c r="P153" l="1"/>
  <c r="K153" s="1"/>
  <c r="Q153" s="1"/>
  <c r="P115"/>
  <c r="L115"/>
  <c r="P13"/>
  <c r="L13"/>
  <c r="G13"/>
  <c r="G54"/>
  <c r="K36"/>
  <c r="L34"/>
  <c r="G42"/>
  <c r="G113"/>
  <c r="G116"/>
  <c r="G118"/>
  <c r="P17"/>
  <c r="L17"/>
  <c r="F31"/>
  <c r="Q31" s="1"/>
  <c r="F164"/>
  <c r="M53"/>
  <c r="F52"/>
  <c r="G53"/>
  <c r="J36"/>
  <c r="G36"/>
  <c r="G64"/>
  <c r="Q150"/>
  <c r="K150"/>
  <c r="P34"/>
  <c r="K34" s="1"/>
  <c r="Q34" s="1"/>
  <c r="F155"/>
  <c r="F156"/>
  <c r="F157"/>
  <c r="F158"/>
  <c r="F159"/>
  <c r="F187"/>
  <c r="M160"/>
  <c r="M168"/>
  <c r="P42"/>
  <c r="L154"/>
  <c r="P154" s="1"/>
  <c r="K154" s="1"/>
  <c r="P143"/>
  <c r="K143" s="1"/>
  <c r="P163"/>
  <c r="L163"/>
  <c r="P129"/>
  <c r="L129"/>
  <c r="P53"/>
  <c r="L53"/>
  <c r="L106"/>
  <c r="K103"/>
  <c r="K104"/>
  <c r="K106"/>
  <c r="Q106" s="1"/>
  <c r="P35"/>
  <c r="L35"/>
  <c r="K140"/>
  <c r="Q140"/>
  <c r="K138"/>
  <c r="L118"/>
  <c r="P131"/>
  <c r="L131"/>
  <c r="P159"/>
  <c r="L159"/>
  <c r="K159"/>
  <c r="Q159" s="1"/>
  <c r="F169"/>
  <c r="Q169"/>
  <c r="P146"/>
  <c r="K146" s="1"/>
  <c r="K169"/>
  <c r="H111"/>
  <c r="G111"/>
  <c r="F146"/>
  <c r="F30"/>
  <c r="Q30" s="1"/>
  <c r="G43"/>
  <c r="J143"/>
  <c r="H55"/>
  <c r="G55"/>
  <c r="F46"/>
  <c r="G129"/>
  <c r="G20"/>
  <c r="G58"/>
  <c r="G49"/>
  <c r="G147"/>
  <c r="G123"/>
  <c r="G126"/>
  <c r="G125"/>
  <c r="G128"/>
  <c r="H117"/>
  <c r="G117"/>
  <c r="H113"/>
  <c r="H116"/>
  <c r="H115"/>
  <c r="H114"/>
  <c r="G114"/>
  <c r="H172"/>
  <c r="G172"/>
  <c r="H123"/>
  <c r="H122" s="1"/>
  <c r="H121" s="1"/>
  <c r="H49"/>
  <c r="H134"/>
  <c r="G134"/>
  <c r="H69"/>
  <c r="G69"/>
  <c r="H180"/>
  <c r="H179" s="1"/>
  <c r="H178" s="1"/>
  <c r="G180"/>
  <c r="F22"/>
  <c r="Q22" s="1"/>
  <c r="H58"/>
  <c r="F16"/>
  <c r="Q16" s="1"/>
  <c r="K16"/>
  <c r="F95"/>
  <c r="Q95" s="1"/>
  <c r="F87"/>
  <c r="Q87" s="1"/>
  <c r="D68"/>
  <c r="F34"/>
  <c r="F13"/>
  <c r="P65"/>
  <c r="P48"/>
  <c r="P47" s="1"/>
  <c r="L65"/>
  <c r="L48" s="1"/>
  <c r="L47" s="1"/>
  <c r="G18"/>
  <c r="F18" s="1"/>
  <c r="Q18" s="1"/>
  <c r="K30"/>
  <c r="H129"/>
  <c r="F126"/>
  <c r="F125"/>
  <c r="I172"/>
  <c r="I171"/>
  <c r="I170" s="1"/>
  <c r="H110"/>
  <c r="H109" s="1"/>
  <c r="I110"/>
  <c r="I109" s="1"/>
  <c r="J110"/>
  <c r="J109"/>
  <c r="L110"/>
  <c r="L109"/>
  <c r="M110"/>
  <c r="M109"/>
  <c r="N110"/>
  <c r="O110"/>
  <c r="H12"/>
  <c r="H11" s="1"/>
  <c r="I12"/>
  <c r="I11" s="1"/>
  <c r="J12"/>
  <c r="J11" s="1"/>
  <c r="M12"/>
  <c r="M11" s="1"/>
  <c r="N12"/>
  <c r="O12"/>
  <c r="O11"/>
  <c r="I179"/>
  <c r="I178"/>
  <c r="J179"/>
  <c r="J178"/>
  <c r="L179"/>
  <c r="L178"/>
  <c r="M179"/>
  <c r="N179"/>
  <c r="N178" s="1"/>
  <c r="O179"/>
  <c r="O178" s="1"/>
  <c r="P179"/>
  <c r="P178"/>
  <c r="K180"/>
  <c r="K182"/>
  <c r="F182"/>
  <c r="Q182" s="1"/>
  <c r="G181"/>
  <c r="G179"/>
  <c r="G178" s="1"/>
  <c r="H171"/>
  <c r="H170" s="1"/>
  <c r="J171"/>
  <c r="J170" s="1"/>
  <c r="L171"/>
  <c r="M171"/>
  <c r="M170"/>
  <c r="N171"/>
  <c r="N170"/>
  <c r="O171"/>
  <c r="K176"/>
  <c r="F176"/>
  <c r="Q176" s="1"/>
  <c r="G173"/>
  <c r="F173"/>
  <c r="K167"/>
  <c r="F167"/>
  <c r="K163"/>
  <c r="Q163"/>
  <c r="F163"/>
  <c r="K161"/>
  <c r="F161"/>
  <c r="Q161" s="1"/>
  <c r="L133"/>
  <c r="L132" s="1"/>
  <c r="M133"/>
  <c r="M132"/>
  <c r="N133"/>
  <c r="N132"/>
  <c r="O133"/>
  <c r="O132"/>
  <c r="F143"/>
  <c r="G135"/>
  <c r="I122"/>
  <c r="I121" s="1"/>
  <c r="J122"/>
  <c r="L122"/>
  <c r="L121" s="1"/>
  <c r="M122"/>
  <c r="M121" s="1"/>
  <c r="N122"/>
  <c r="N121" s="1"/>
  <c r="O122"/>
  <c r="O121" s="1"/>
  <c r="F119"/>
  <c r="K131"/>
  <c r="F131"/>
  <c r="Q131"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2"/>
  <c r="G11" s="1"/>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4"/>
  <c r="F135"/>
  <c r="F136"/>
  <c r="Q138"/>
  <c r="Q139"/>
  <c r="F142"/>
  <c r="F144"/>
  <c r="Q144" s="1"/>
  <c r="F145"/>
  <c r="F147"/>
  <c r="F148"/>
  <c r="F149"/>
  <c r="F151"/>
  <c r="F152"/>
  <c r="F153"/>
  <c r="F154"/>
  <c r="Q154" s="1"/>
  <c r="Q156"/>
  <c r="Q158"/>
  <c r="F160"/>
  <c r="F162"/>
  <c r="Q162" s="1"/>
  <c r="F165"/>
  <c r="F166"/>
  <c r="F168"/>
  <c r="F123"/>
  <c r="F129"/>
  <c r="Q129" s="1"/>
  <c r="K129"/>
  <c r="F128"/>
  <c r="Q128"/>
  <c r="F124"/>
  <c r="F188"/>
  <c r="F186"/>
  <c r="F184"/>
  <c r="Q184" s="1"/>
  <c r="F183"/>
  <c r="Q183"/>
  <c r="J79"/>
  <c r="J68"/>
  <c r="J67" s="1"/>
  <c r="F172"/>
  <c r="F174"/>
  <c r="Q174"/>
  <c r="F175"/>
  <c r="F177"/>
  <c r="P123"/>
  <c r="P172"/>
  <c r="P171" s="1"/>
  <c r="P170" s="1"/>
  <c r="P155"/>
  <c r="K155" s="1"/>
  <c r="P160"/>
  <c r="K160" s="1"/>
  <c r="F76"/>
  <c r="Q76" s="1"/>
  <c r="K76"/>
  <c r="F78"/>
  <c r="Q78"/>
  <c r="K78"/>
  <c r="F51"/>
  <c r="Q51" s="1"/>
  <c r="P130"/>
  <c r="K130" s="1"/>
  <c r="L170"/>
  <c r="K142"/>
  <c r="Q142"/>
  <c r="P118"/>
  <c r="K118"/>
  <c r="P177"/>
  <c r="K177"/>
  <c r="Q177" s="1"/>
  <c r="P175"/>
  <c r="K175"/>
  <c r="Q175" s="1"/>
  <c r="K173"/>
  <c r="Q173" s="1"/>
  <c r="K174"/>
  <c r="F58"/>
  <c r="K70"/>
  <c r="F50"/>
  <c r="K50"/>
  <c r="K66"/>
  <c r="Q66" s="1"/>
  <c r="F66"/>
  <c r="P165"/>
  <c r="K165" s="1"/>
  <c r="K185"/>
  <c r="Q185"/>
  <c r="O170"/>
  <c r="D171"/>
  <c r="P105"/>
  <c r="K105" s="1"/>
  <c r="F105"/>
  <c r="F71"/>
  <c r="Q71" s="1"/>
  <c r="K71"/>
  <c r="Q60"/>
  <c r="K128"/>
  <c r="F59"/>
  <c r="Q59" s="1"/>
  <c r="P149"/>
  <c r="K149" s="1"/>
  <c r="Q149" s="1"/>
  <c r="P157"/>
  <c r="K157" s="1"/>
  <c r="P125"/>
  <c r="K125" s="1"/>
  <c r="K122" s="1"/>
  <c r="P111"/>
  <c r="K147"/>
  <c r="F77"/>
  <c r="Q77" s="1"/>
  <c r="K77"/>
  <c r="F101"/>
  <c r="K101"/>
  <c r="F53"/>
  <c r="Q53" s="1"/>
  <c r="F97"/>
  <c r="Q97" s="1"/>
  <c r="K97"/>
  <c r="K115"/>
  <c r="F55"/>
  <c r="Q55"/>
  <c r="F49"/>
  <c r="K49"/>
  <c r="Q49" s="1"/>
  <c r="F86"/>
  <c r="K86"/>
  <c r="F79"/>
  <c r="F72"/>
  <c r="Q72" s="1"/>
  <c r="K72"/>
  <c r="P152"/>
  <c r="K152" s="1"/>
  <c r="Q152" s="1"/>
  <c r="F62"/>
  <c r="P151"/>
  <c r="K151" s="1"/>
  <c r="Q151" s="1"/>
  <c r="P148"/>
  <c r="K148"/>
  <c r="Q148" s="1"/>
  <c r="P139"/>
  <c r="K139" s="1"/>
  <c r="J133"/>
  <c r="J132" s="1"/>
  <c r="K168"/>
  <c r="P156"/>
  <c r="K156" s="1"/>
  <c r="G89"/>
  <c r="F89"/>
  <c r="Q89" s="1"/>
  <c r="K89"/>
  <c r="P158"/>
  <c r="K158" s="1"/>
  <c r="P145"/>
  <c r="K145" s="1"/>
  <c r="Q145" s="1"/>
  <c r="I133"/>
  <c r="I132" s="1"/>
  <c r="F63"/>
  <c r="Q63" s="1"/>
  <c r="J47"/>
  <c r="H133"/>
  <c r="H132" s="1"/>
  <c r="K184"/>
  <c r="K179" s="1"/>
  <c r="K178" s="1"/>
  <c r="K108"/>
  <c r="F108"/>
  <c r="Q108" s="1"/>
  <c r="K136"/>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6"/>
  <c r="Q186"/>
  <c r="F96"/>
  <c r="F130"/>
  <c r="Q130" s="1"/>
  <c r="F104"/>
  <c r="Q104" s="1"/>
  <c r="K188"/>
  <c r="Q188"/>
  <c r="K181"/>
  <c r="D179"/>
  <c r="K166"/>
  <c r="Q166"/>
  <c r="K162"/>
  <c r="K144"/>
  <c r="K135"/>
  <c r="Q135" s="1"/>
  <c r="K134"/>
  <c r="Q134" s="1"/>
  <c r="D133"/>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7"/>
  <c r="P119"/>
  <c r="K119" s="1"/>
  <c r="Q119" s="1"/>
  <c r="Q94"/>
  <c r="M68"/>
  <c r="M67"/>
  <c r="G110"/>
  <c r="G109" s="1"/>
  <c r="Q86"/>
  <c r="Q100"/>
  <c r="Q50"/>
  <c r="Q101"/>
  <c r="M178"/>
  <c r="F180"/>
  <c r="Q180"/>
  <c r="F181"/>
  <c r="Q181" s="1"/>
  <c r="G171"/>
  <c r="G170" s="1"/>
  <c r="Q136"/>
  <c r="F171"/>
  <c r="F170" s="1"/>
  <c r="Q40"/>
  <c r="G122"/>
  <c r="G121" s="1"/>
  <c r="Q167"/>
  <c r="Q73"/>
  <c r="Q62"/>
  <c r="Q58"/>
  <c r="Q45"/>
  <c r="Q20"/>
  <c r="Q38"/>
  <c r="P122"/>
  <c r="P121" s="1"/>
  <c r="Q118"/>
  <c r="K65"/>
  <c r="Q114"/>
  <c r="Q123"/>
  <c r="Q99"/>
  <c r="Q168"/>
  <c r="Q147"/>
  <c r="Q41"/>
  <c r="G133"/>
  <c r="G132" s="1"/>
  <c r="L12"/>
  <c r="L11" s="1"/>
  <c r="F122"/>
  <c r="F121" s="1"/>
  <c r="Q143" l="1"/>
  <c r="Q165"/>
  <c r="K48"/>
  <c r="K47" s="1"/>
  <c r="P110"/>
  <c r="P109" s="1"/>
  <c r="Q115"/>
  <c r="Q160"/>
  <c r="Q36"/>
  <c r="Q15"/>
  <c r="Q146"/>
  <c r="P133"/>
  <c r="P132" s="1"/>
  <c r="Q17"/>
  <c r="J189"/>
  <c r="M189"/>
  <c r="Q52"/>
  <c r="F133"/>
  <c r="F132" s="1"/>
  <c r="K121"/>
  <c r="Q122"/>
  <c r="L189"/>
  <c r="Q105"/>
  <c r="Q155"/>
  <c r="N189"/>
  <c r="H189"/>
  <c r="G47"/>
  <c r="F48"/>
  <c r="O189"/>
  <c r="Q121"/>
  <c r="K68"/>
  <c r="K67" s="1"/>
  <c r="Q157"/>
  <c r="I189"/>
  <c r="Q125"/>
  <c r="K111"/>
  <c r="K172"/>
  <c r="G68"/>
  <c r="F179"/>
  <c r="Q80"/>
  <c r="F14"/>
  <c r="Q14" s="1"/>
  <c r="F110"/>
  <c r="K137"/>
  <c r="Q137" s="1"/>
  <c r="G189" l="1"/>
  <c r="K110"/>
  <c r="K109" s="1"/>
  <c r="Q111"/>
  <c r="Q172"/>
  <c r="K171"/>
  <c r="K133"/>
  <c r="F109"/>
  <c r="Q48"/>
  <c r="F47"/>
  <c r="Q47" s="1"/>
  <c r="F68"/>
  <c r="G67"/>
  <c r="Q179"/>
  <c r="F178"/>
  <c r="Q178" s="1"/>
  <c r="F12"/>
  <c r="K170" l="1"/>
  <c r="Q170" s="1"/>
  <c r="Q171"/>
  <c r="K132"/>
  <c r="Q133"/>
  <c r="F11"/>
  <c r="F67"/>
  <c r="Q67" s="1"/>
  <c r="Q68"/>
  <c r="Q110"/>
  <c r="Q109" s="1"/>
  <c r="Q132" l="1"/>
  <c r="F189"/>
  <c r="P12"/>
  <c r="P11" s="1"/>
  <c r="P189" s="1"/>
  <c r="K13"/>
  <c r="Q13" s="1"/>
  <c r="K12" l="1"/>
  <c r="Q12" s="1"/>
  <c r="K11" l="1"/>
  <c r="Q11" s="1"/>
  <c r="K189" l="1"/>
  <c r="Q189" s="1"/>
</calcChain>
</file>

<file path=xl/sharedStrings.xml><?xml version="1.0" encoding="utf-8"?>
<sst xmlns="http://schemas.openxmlformats.org/spreadsheetml/2006/main" count="755" uniqueCount="518">
  <si>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</si>
  <si>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</si>
  <si>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</si>
  <si>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</si>
  <si>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</si>
  <si>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</si>
  <si>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</si>
  <si>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</si>
  <si>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</si>
  <si>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</si>
  <si>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</si>
  <si>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</si>
  <si>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</si>
  <si>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</si>
  <si>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</si>
  <si>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</si>
  <si>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</si>
  <si>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</si>
  <si>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</si>
  <si>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</si>
  <si>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</si>
  <si>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</si>
  <si>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</si>
  <si>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</si>
  <si>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</si>
  <si>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</si>
  <si>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</si>
  <si>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</si>
  <si>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</si>
  <si>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</si>
  <si>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</si>
  <si>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</si>
  <si>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</si>
  <si>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</si>
  <si>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</si>
  <si>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</si>
  <si>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</si>
  <si>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</si>
  <si>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</si>
  <si>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</si>
  <si>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</si>
  <si>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</si>
  <si>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</si>
  <si>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</si>
  <si>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</si>
  <si>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</si>
  <si>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</si>
  <si>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</si>
  <si>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</si>
  <si>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</si>
  <si>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</si>
  <si>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</si>
  <si>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</si>
  <si>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</si>
  <si>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</si>
  <si>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</si>
  <si>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</si>
  <si>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</si>
  <si>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</si>
  <si>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</si>
  <si>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</si>
  <si>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</si>
  <si>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</si>
  <si>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</si>
  <si>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</si>
  <si>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</si>
  <si>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</si>
  <si>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</si>
  <si>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</si>
  <si>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</si>
  <si>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</si>
  <si>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</si>
  <si>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</si>
  <si>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</si>
  <si>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</si>
  <si>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</si>
  <si>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</si>
  <si>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</si>
  <si>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</si>
  <si>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</si>
  <si>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</si>
  <si>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</si>
  <si>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</si>
  <si>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</si>
  <si>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</si>
  <si>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</si>
  <si>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</si>
  <si>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</si>
  <si>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</si>
  <si>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</si>
  <si>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</si>
  <si>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</si>
  <si>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</si>
  <si>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</si>
  <si>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</si>
  <si>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</si>
  <si>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</si>
  <si>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</si>
  <si>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</si>
  <si>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</si>
  <si>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</si>
  <si>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</si>
  <si>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</si>
  <si>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</si>
  <si>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</si>
  <si>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</si>
  <si>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</si>
  <si>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</si>
  <si>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</si>
  <si>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</si>
  <si>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</si>
  <si>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</si>
  <si>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</si>
  <si>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</si>
  <si>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</si>
  <si>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</si>
  <si>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</si>
  <si>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</si>
  <si>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</si>
  <si>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</si>
  <si>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</si>
  <si>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</si>
  <si>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</si>
  <si>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</si>
  <si>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</si>
  <si>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</si>
  <si>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</si>
  <si>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</si>
  <si>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</si>
  <si>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</si>
  <si>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</si>
  <si>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</si>
  <si>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</si>
  <si>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</si>
  <si>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</si>
  <si>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</si>
  <si>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</si>
  <si>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</si>
  <si>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</si>
  <si>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</si>
  <si>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</si>
  <si>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</si>
  <si>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</si>
  <si>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</si>
  <si>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</si>
  <si>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</si>
  <si>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</si>
  <si>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</si>
  <si>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</si>
  <si>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</si>
  <si>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</si>
  <si>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</si>
  <si>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</si>
  <si>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</si>
  <si>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</si>
  <si>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</si>
  <si>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</si>
  <si>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</si>
  <si>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</si>
  <si>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</si>
  <si>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</si>
  <si>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</si>
  <si>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</si>
  <si>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</si>
  <si>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</si>
  <si>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</si>
  <si>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</si>
  <si>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</si>
  <si>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</si>
  <si>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</si>
  <si>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</si>
  <si>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</si>
  <si>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</si>
  <si>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</si>
  <si>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</si>
  <si>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</si>
  <si>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</si>
  <si>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</si>
  <si>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</si>
  <si>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</si>
  <si>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</si>
  <si>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</si>
  <si>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</si>
  <si>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</si>
  <si>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</si>
  <si>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</si>
  <si>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</si>
  <si>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</si>
  <si>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</si>
  <si>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</si>
  <si>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</si>
  <si>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</si>
  <si>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</si>
  <si>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</si>
  <si>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</si>
  <si>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</si>
  <si>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</si>
  <si>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</si>
  <si>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</si>
  <si>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</si>
  <si>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</si>
  <si>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</si>
  <si>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</si>
  <si>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</si>
  <si>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</si>
  <si>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</si>
  <si>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</si>
  <si>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</si>
  <si>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</si>
  <si>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</si>
  <si>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</si>
  <si>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</si>
  <si>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</si>
  <si>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</si>
  <si>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</si>
  <si>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</si>
  <si>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</si>
  <si>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</si>
  <si>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</si>
  <si>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</si>
  <si>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</si>
  <si>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</si>
  <si>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</si>
  <si>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</si>
  <si>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</si>
  <si>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</si>
  <si>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</si>
  <si>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</si>
  <si>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</si>
  <si>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</si>
  <si>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</si>
  <si>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</si>
  <si>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</si>
  <si>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</si>
  <si>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</si>
  <si>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</si>
  <si>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</si>
  <si>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</si>
  <si>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</si>
  <si>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</si>
  <si>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</si>
  <si>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</si>
  <si>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</si>
  <si>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</si>
  <si>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</si>
  <si>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</si>
  <si>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</si>
  <si>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</si>
  <si>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</si>
  <si>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</si>
  <si>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</si>
  <si>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</si>
  <si>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</si>
  <si>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</si>
  <si>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</si>
  <si>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</si>
  <si>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</si>
  <si>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</si>
  <si>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</si>
  <si>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</si>
  <si>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</si>
  <si>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</si>
  <si>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</si>
  <si>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</si>
  <si>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</si>
  <si>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</si>
  <si>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</si>
  <si>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</si>
  <si>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</si>
  <si>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</si>
  <si>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</si>
  <si>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</si>
  <si>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</si>
  <si>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</si>
  <si>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</si>
  <si>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</si>
  <si>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</si>
  <si>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</si>
  <si>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</si>
  <si>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</si>
  <si>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</si>
  <si>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</si>
  <si>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</si>
  <si>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</si>
  <si>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</si>
  <si>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</si>
  <si>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</si>
  <si>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</si>
  <si>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</si>
  <si>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</si>
  <si>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</si>
  <si>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</si>
  <si>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</si>
  <si>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</si>
  <si>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</si>
  <si>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</si>
  <si>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</si>
  <si>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</si>
  <si>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</si>
  <si>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</si>
  <si>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</si>
  <si>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</si>
  <si>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</si>
  <si>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</si>
  <si>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</si>
  <si>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</si>
  <si>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</si>
  <si>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</si>
  <si>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</si>
  <si>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</si>
  <si>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</si>
  <si>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</si>
  <si>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</si>
  <si>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</si>
  <si>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</si>
  <si>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</si>
  <si>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</si>
  <si>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</si>
  <si>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</si>
  <si>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</si>
  <si>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</si>
  <si>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</si>
  <si>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</si>
  <si>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</si>
  <si>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</si>
  <si>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</si>
  <si>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</si>
  <si>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</si>
  <si>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</si>
  <si>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</si>
  <si>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</si>
  <si>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</si>
  <si>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</si>
  <si>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</si>
  <si>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</si>
  <si>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</si>
  <si>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</si>
  <si>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</si>
  <si>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</si>
  <si>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</si>
  <si>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</si>
  <si>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</si>
  <si>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</si>
  <si>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</si>
  <si>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</si>
  <si>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</si>
  <si>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</si>
  <si>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</si>
  <si>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</si>
  <si>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</si>
  <si>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</si>
  <si>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</si>
  <si>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</si>
  <si>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</si>
  <si>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</si>
  <si>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</si>
  <si>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</si>
  <si>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</si>
  <si>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</si>
  <si>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</si>
  <si>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</si>
  <si>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</si>
  <si>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</si>
  <si>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</si>
  <si>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</si>
  <si>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</si>
  <si>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</si>
  <si>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</si>
  <si>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</si>
  <si>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</si>
  <si>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</si>
  <si>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</si>
  <si>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</si>
  <si>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</si>
  <si>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</si>
  <si>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</si>
  <si>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</si>
  <si>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</si>
  <si>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</si>
  <si>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</si>
  <si>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</si>
  <si>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</si>
  <si>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</si>
  <si>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</si>
  <si>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</si>
  <si>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</si>
  <si>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</si>
  <si>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</si>
  <si>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</si>
  <si>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</si>
  <si>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</si>
  <si>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</si>
  <si>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</si>
  <si>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</si>
  <si>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</si>
  <si>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</si>
  <si>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</si>
  <si>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</si>
  <si>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</si>
  <si>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</si>
  <si>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</si>
  <si>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</si>
  <si>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</si>
  <si>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</si>
  <si>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</si>
  <si>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</si>
  <si>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</si>
  <si>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</si>
  <si>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</si>
  <si>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</si>
  <si>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</si>
  <si>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</si>
  <si>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</si>
  <si>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</si>
  <si>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</si>
  <si>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</si>
  <si>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</si>
  <si>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</si>
  <si>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</si>
  <si>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</si>
  <si>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</si>
  <si>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</si>
  <si>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</si>
  <si>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</si>
  <si>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</si>
  <si>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</si>
  <si>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</si>
  <si>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</si>
  <si>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</si>
  <si>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</si>
  <si>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</si>
  <si>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</si>
  <si>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</si>
  <si>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</si>
  <si>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</si>
  <si>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</si>
  <si>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</si>
  <si>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</si>
  <si>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</si>
  <si>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</si>
  <si>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</si>
  <si>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</si>
  <si>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</si>
  <si>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</si>
  <si>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</si>
  <si>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</si>
  <si>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</si>
  <si>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</si>
  <si>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</si>
  <si>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</si>
  <si>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</si>
  <si>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</si>
  <si>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</si>
  <si>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</si>
  <si>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</si>
  <si>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</si>
  <si>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</si>
  <si>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</si>
  <si>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</si>
  <si>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</si>
  <si>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</si>
  <si>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</si>
  <si>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</si>
  <si>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</si>
  <si>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</si>
  <si>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</si>
  <si>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</si>
  <si>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</si>
  <si>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</si>
  <si>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</si>
  <si>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</si>
  <si>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</si>
  <si>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</si>
  <si>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</si>
  <si>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</si>
  <si>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</si>
  <si>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</si>
  <si>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</si>
  <si>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</si>
  <si>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</si>
  <si>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</si>
  <si>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</si>
  <si>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</si>
  <si>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</si>
  <si>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</si>
  <si>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</si>
  <si>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</si>
  <si>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</si>
  <si>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</si>
  <si>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</si>
  <si>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</si>
  <si>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</si>
  <si>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</si>
  <si>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</si>
  <si>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</si>
  <si>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</si>
  <si>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</si>
  <si>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</si>
  <si>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</si>
  <si>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</si>
  <si>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</si>
  <si>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</si>
  <si>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</si>
  <si>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</si>
  <si>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</si>
  <si>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</si>
  <si>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</si>
  <si>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</si>
  <si>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</si>
  <si>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</si>
  <si>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</si>
  <si>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</si>
  <si>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</si>
  <si>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</si>
  <si>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</si>
  <si>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</si>
  <si>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</si>
  <si>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 xml:space="preserve">                             від  20  травня 2020 р №    -73/2020</t>
  </si>
</sst>
</file>

<file path=xl/styles.xml><?xml version="1.0" encoding="utf-8"?>
<styleSheet xmlns="http://schemas.openxmlformats.org/spreadsheetml/2006/main">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2">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164"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6"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6"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164"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164"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164"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6"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6" fontId="6" fillId="3" borderId="1" xfId="0" applyNumberFormat="1" applyFont="1" applyFill="1" applyBorder="1" applyAlignment="1" applyProtection="1">
      <alignment horizontal="left" vertical="center" wrapText="1"/>
      <protection locked="0"/>
    </xf>
    <xf numFmtId="166"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164" fontId="3" fillId="0" borderId="1" xfId="2" applyFont="1" applyFill="1" applyBorder="1" applyAlignment="1" applyProtection="1">
      <alignment horizontal="right"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2"/>
  <sheetViews>
    <sheetView tabSelected="1" view="pageBreakPreview" zoomScale="70" zoomScaleNormal="60" zoomScaleSheetLayoutView="70" workbookViewId="0">
      <pane xSplit="5" ySplit="10" topLeftCell="F151" activePane="bottomRight" state="frozen"/>
      <selection pane="topRight" activeCell="F1" sqref="F1"/>
      <selection pane="bottomLeft" activeCell="A11" sqref="A11"/>
      <selection pane="bottomRight" activeCell="Q190" sqref="Q190"/>
    </sheetView>
  </sheetViews>
  <sheetFormatPr defaultColWidth="9.140625" defaultRowHeight="24.75" customHeight="1"/>
  <cols>
    <col min="1" max="1" width="16.5703125" style="33" customWidth="1"/>
    <col min="2" max="2" width="16.85546875" style="33" customWidth="1"/>
    <col min="3" max="3" width="10.28515625" style="33" customWidth="1"/>
    <col min="4" max="4" width="48.28515625" style="1" customWidth="1"/>
    <col min="5" max="5" width="6.85546875" style="21" hidden="1" customWidth="1"/>
    <col min="6" max="6" width="22.7109375" style="57" customWidth="1"/>
    <col min="7" max="7" width="20.85546875" style="57" customWidth="1"/>
    <col min="8" max="8" width="21.28515625" style="57" customWidth="1"/>
    <col min="9" max="9" width="20.42578125" style="57" customWidth="1"/>
    <col min="10" max="10" width="22.42578125" style="57" customWidth="1"/>
    <col min="11" max="11" width="21.5703125" style="57" customWidth="1"/>
    <col min="12" max="12" width="19.5703125" style="57" customWidth="1"/>
    <col min="13" max="13" width="20.5703125" style="57" customWidth="1"/>
    <col min="14" max="15" width="19" style="57" customWidth="1"/>
    <col min="16" max="16" width="21.5703125" style="57" customWidth="1"/>
    <col min="17" max="17" width="26.28515625" style="57" customWidth="1"/>
    <col min="18" max="18" width="28.42578125" style="33" customWidth="1"/>
    <col min="19" max="19" width="17.42578125" style="33" customWidth="1"/>
    <col min="20" max="20" width="23.7109375" style="34" customWidth="1"/>
    <col min="21" max="16384" width="9.140625" style="33"/>
  </cols>
  <sheetData>
    <row r="1" spans="1:20" s="8" customFormat="1" ht="30" customHeight="1">
      <c r="D1" s="2"/>
      <c r="F1" s="43"/>
      <c r="G1" s="44"/>
      <c r="H1" s="43"/>
      <c r="I1" s="43"/>
      <c r="J1" s="43"/>
      <c r="K1" s="43"/>
      <c r="L1" s="43"/>
      <c r="M1" s="43"/>
      <c r="N1" s="136" t="s">
        <v>496</v>
      </c>
      <c r="O1" s="136"/>
      <c r="P1" s="136"/>
      <c r="Q1" s="136"/>
      <c r="T1" s="22"/>
    </row>
    <row r="2" spans="1:20" s="8" customFormat="1" ht="24.6" customHeight="1">
      <c r="A2" s="136" t="s">
        <v>323</v>
      </c>
      <c r="B2" s="136"/>
      <c r="C2" s="136"/>
      <c r="D2" s="136"/>
      <c r="E2" s="136"/>
      <c r="F2" s="136"/>
      <c r="G2" s="136"/>
      <c r="H2" s="136"/>
      <c r="I2" s="136"/>
      <c r="J2" s="136"/>
      <c r="K2" s="136"/>
      <c r="L2" s="136"/>
      <c r="M2" s="136"/>
      <c r="N2" s="137" t="s">
        <v>356</v>
      </c>
      <c r="O2" s="137"/>
      <c r="P2" s="137"/>
      <c r="Q2" s="137"/>
      <c r="T2" s="22"/>
    </row>
    <row r="3" spans="1:20" s="8" customFormat="1" ht="27" customHeight="1">
      <c r="A3" s="136" t="s">
        <v>492</v>
      </c>
      <c r="B3" s="136"/>
      <c r="C3" s="136"/>
      <c r="D3" s="136"/>
      <c r="E3" s="136"/>
      <c r="F3" s="136"/>
      <c r="G3" s="136"/>
      <c r="H3" s="136"/>
      <c r="I3" s="136"/>
      <c r="J3" s="136"/>
      <c r="K3" s="136"/>
      <c r="L3" s="136"/>
      <c r="M3" s="136"/>
      <c r="N3" s="138" t="s">
        <v>517</v>
      </c>
      <c r="O3" s="138"/>
      <c r="P3" s="138"/>
      <c r="Q3" s="138"/>
      <c r="T3" s="22"/>
    </row>
    <row r="4" spans="1:20" s="8" customFormat="1" ht="17.45" customHeight="1">
      <c r="A4" s="139">
        <v>25538000000</v>
      </c>
      <c r="B4" s="139"/>
      <c r="C4" s="139"/>
      <c r="D4" s="2"/>
      <c r="E4" s="26"/>
      <c r="F4" s="45"/>
      <c r="G4" s="45"/>
      <c r="H4" s="45"/>
      <c r="I4" s="45"/>
      <c r="J4" s="45"/>
      <c r="K4" s="45"/>
      <c r="L4" s="45"/>
      <c r="M4" s="45"/>
      <c r="N4" s="135"/>
      <c r="O4" s="135"/>
      <c r="P4" s="135"/>
      <c r="Q4" s="135"/>
      <c r="T4" s="22"/>
    </row>
    <row r="5" spans="1:20" s="8" customFormat="1" ht="17.45" customHeight="1">
      <c r="A5" s="141" t="s">
        <v>491</v>
      </c>
      <c r="B5" s="141"/>
      <c r="C5" s="141"/>
      <c r="D5" s="2"/>
      <c r="E5" s="14"/>
      <c r="F5" s="45"/>
      <c r="G5" s="45"/>
      <c r="H5" s="45"/>
      <c r="I5" s="45"/>
      <c r="J5" s="45"/>
      <c r="K5" s="45"/>
      <c r="L5" s="45"/>
      <c r="M5" s="45"/>
      <c r="N5" s="45"/>
      <c r="O5" s="45"/>
      <c r="P5" s="46"/>
      <c r="Q5" s="46"/>
      <c r="T5" s="22"/>
    </row>
    <row r="6" spans="1:20" s="58" customFormat="1" ht="21.6" customHeight="1">
      <c r="A6" s="142" t="s">
        <v>357</v>
      </c>
      <c r="B6" s="144" t="s">
        <v>497</v>
      </c>
      <c r="C6" s="142" t="s">
        <v>293</v>
      </c>
      <c r="D6" s="148" t="s">
        <v>483</v>
      </c>
      <c r="E6" s="143" t="s">
        <v>59</v>
      </c>
      <c r="F6" s="140" t="s">
        <v>294</v>
      </c>
      <c r="G6" s="140"/>
      <c r="H6" s="140"/>
      <c r="I6" s="140"/>
      <c r="J6" s="64"/>
      <c r="K6" s="140" t="s">
        <v>295</v>
      </c>
      <c r="L6" s="151"/>
      <c r="M6" s="151"/>
      <c r="N6" s="151"/>
      <c r="O6" s="151"/>
      <c r="P6" s="151"/>
      <c r="Q6" s="140" t="s">
        <v>0</v>
      </c>
      <c r="T6" s="59"/>
    </row>
    <row r="7" spans="1:20" s="58" customFormat="1" ht="25.15" customHeight="1">
      <c r="A7" s="142"/>
      <c r="B7" s="145"/>
      <c r="C7" s="142"/>
      <c r="D7" s="148"/>
      <c r="E7" s="143"/>
      <c r="F7" s="140" t="s">
        <v>206</v>
      </c>
      <c r="G7" s="140" t="s">
        <v>47</v>
      </c>
      <c r="H7" s="149" t="s">
        <v>26</v>
      </c>
      <c r="I7" s="149"/>
      <c r="J7" s="140" t="s">
        <v>48</v>
      </c>
      <c r="K7" s="140" t="s">
        <v>206</v>
      </c>
      <c r="L7" s="140" t="s">
        <v>296</v>
      </c>
      <c r="M7" s="140" t="s">
        <v>49</v>
      </c>
      <c r="N7" s="149" t="s">
        <v>26</v>
      </c>
      <c r="O7" s="149"/>
      <c r="P7" s="140" t="s">
        <v>50</v>
      </c>
      <c r="Q7" s="140"/>
      <c r="T7" s="59"/>
    </row>
    <row r="8" spans="1:20" s="58" customFormat="1" ht="16.5" customHeight="1">
      <c r="A8" s="142"/>
      <c r="B8" s="145"/>
      <c r="C8" s="142"/>
      <c r="D8" s="148"/>
      <c r="E8" s="143"/>
      <c r="F8" s="140"/>
      <c r="G8" s="140"/>
      <c r="H8" s="140" t="s">
        <v>54</v>
      </c>
      <c r="I8" s="140" t="s">
        <v>21</v>
      </c>
      <c r="J8" s="140"/>
      <c r="K8" s="140"/>
      <c r="L8" s="150"/>
      <c r="M8" s="150"/>
      <c r="N8" s="140" t="s">
        <v>297</v>
      </c>
      <c r="O8" s="140" t="s">
        <v>21</v>
      </c>
      <c r="P8" s="150"/>
      <c r="Q8" s="140"/>
      <c r="T8" s="59"/>
    </row>
    <row r="9" spans="1:20" s="58" customFormat="1" ht="76.150000000000006" customHeight="1">
      <c r="A9" s="142"/>
      <c r="B9" s="146"/>
      <c r="C9" s="142"/>
      <c r="D9" s="148"/>
      <c r="E9" s="143"/>
      <c r="F9" s="140"/>
      <c r="G9" s="140"/>
      <c r="H9" s="140"/>
      <c r="I9" s="140"/>
      <c r="J9" s="140"/>
      <c r="K9" s="140"/>
      <c r="L9" s="150"/>
      <c r="M9" s="150"/>
      <c r="N9" s="140"/>
      <c r="O9" s="140"/>
      <c r="P9" s="150"/>
      <c r="Q9" s="140"/>
      <c r="T9" s="59"/>
    </row>
    <row r="10" spans="1:20" s="19" customFormat="1" ht="16.899999999999999"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71900617.75</v>
      </c>
      <c r="G11" s="77">
        <f>G12</f>
        <v>70669213.75</v>
      </c>
      <c r="H11" s="78">
        <f t="shared" ref="H11:P11" si="0">H12</f>
        <v>20463300</v>
      </c>
      <c r="I11" s="78">
        <f t="shared" si="0"/>
        <v>692900</v>
      </c>
      <c r="J11" s="78">
        <f t="shared" si="0"/>
        <v>1231404</v>
      </c>
      <c r="K11" s="77">
        <f t="shared" si="0"/>
        <v>6196624</v>
      </c>
      <c r="L11" s="77">
        <f t="shared" si="0"/>
        <v>6111224</v>
      </c>
      <c r="M11" s="78">
        <f t="shared" si="0"/>
        <v>85400</v>
      </c>
      <c r="N11" s="78">
        <f t="shared" si="0"/>
        <v>0</v>
      </c>
      <c r="O11" s="78">
        <f t="shared" si="0"/>
        <v>0</v>
      </c>
      <c r="P11" s="78">
        <f t="shared" si="0"/>
        <v>6111224</v>
      </c>
      <c r="Q11" s="77">
        <f t="shared" ref="Q11:Q45" si="1">F11+K11</f>
        <v>78097241.75</v>
      </c>
      <c r="T11" s="24"/>
    </row>
    <row r="12" spans="1:20" s="23" customFormat="1" ht="43.15" customHeight="1">
      <c r="A12" s="79" t="s">
        <v>119</v>
      </c>
      <c r="B12" s="79" t="s">
        <v>119</v>
      </c>
      <c r="C12" s="80"/>
      <c r="D12" s="81" t="s">
        <v>114</v>
      </c>
      <c r="E12" s="80"/>
      <c r="F12" s="87">
        <f>SUM(F13:F45)+F46</f>
        <v>71900617.75</v>
      </c>
      <c r="G12" s="87">
        <f>SUM(G13:G45)+G46</f>
        <v>70669213.75</v>
      </c>
      <c r="H12" s="82">
        <f t="shared" ref="H12:P12" si="2">SUM(H13:H45)</f>
        <v>20463300</v>
      </c>
      <c r="I12" s="82">
        <f t="shared" si="2"/>
        <v>692900</v>
      </c>
      <c r="J12" s="82">
        <f t="shared" si="2"/>
        <v>1231404</v>
      </c>
      <c r="K12" s="82">
        <f t="shared" si="2"/>
        <v>6196624</v>
      </c>
      <c r="L12" s="82">
        <f t="shared" si="2"/>
        <v>6111224</v>
      </c>
      <c r="M12" s="82">
        <f t="shared" si="2"/>
        <v>85400</v>
      </c>
      <c r="N12" s="82">
        <f t="shared" si="2"/>
        <v>0</v>
      </c>
      <c r="O12" s="82">
        <f t="shared" si="2"/>
        <v>0</v>
      </c>
      <c r="P12" s="82">
        <f t="shared" si="2"/>
        <v>6111224</v>
      </c>
      <c r="Q12" s="82">
        <f t="shared" si="1"/>
        <v>78097241.75</v>
      </c>
      <c r="R12" s="60"/>
      <c r="T12" s="24"/>
    </row>
    <row r="13" spans="1:20" s="25" customFormat="1" ht="56.45"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5" customHeight="1">
      <c r="A14" s="66" t="s">
        <v>138</v>
      </c>
      <c r="B14" s="66" t="s">
        <v>280</v>
      </c>
      <c r="C14" s="66" t="s">
        <v>72</v>
      </c>
      <c r="D14" s="117" t="s">
        <v>139</v>
      </c>
      <c r="E14" s="3"/>
      <c r="F14" s="4">
        <f t="shared" si="3"/>
        <v>248996</v>
      </c>
      <c r="G14" s="4">
        <f>90000+66000+21000+70000+2000-4</f>
        <v>248996</v>
      </c>
      <c r="H14" s="12"/>
      <c r="I14" s="12"/>
      <c r="J14" s="12"/>
      <c r="K14" s="4">
        <f t="shared" si="4"/>
        <v>0</v>
      </c>
      <c r="L14" s="4"/>
      <c r="M14" s="4"/>
      <c r="N14" s="4"/>
      <c r="O14" s="12"/>
      <c r="P14" s="12"/>
      <c r="Q14" s="4">
        <f t="shared" si="1"/>
        <v>248996</v>
      </c>
      <c r="T14" s="22"/>
    </row>
    <row r="15" spans="1:20" s="23" customFormat="1" ht="44.45" customHeight="1">
      <c r="A15" s="66" t="s">
        <v>121</v>
      </c>
      <c r="B15" s="66" t="s">
        <v>359</v>
      </c>
      <c r="C15" s="67" t="s">
        <v>62</v>
      </c>
      <c r="D15" s="10" t="s">
        <v>88</v>
      </c>
      <c r="E15" s="10" t="s">
        <v>60</v>
      </c>
      <c r="F15" s="4">
        <f t="shared" si="3"/>
        <v>24320337</v>
      </c>
      <c r="G15" s="4">
        <f>19392700+195000+41300+2153850-280000+90000+30000+141410+231907-13870-109800+19800+758840+5000+1399957+63800+41300+172200+214000+4043-150000-81100</f>
        <v>24320337</v>
      </c>
      <c r="H15" s="12"/>
      <c r="I15" s="12"/>
      <c r="J15" s="12"/>
      <c r="K15" s="4">
        <f t="shared" si="4"/>
        <v>2250520</v>
      </c>
      <c r="L15" s="4">
        <f>728000+269850+8700+160000+769000+80000+13870+50000+150000+21100</f>
        <v>2250520</v>
      </c>
      <c r="M15" s="4"/>
      <c r="N15" s="4"/>
      <c r="O15" s="12"/>
      <c r="P15" s="47">
        <f>728000+269850+8700+160000+769000+80000+13870+50000+150000+21100</f>
        <v>2250520</v>
      </c>
      <c r="Q15" s="4">
        <f t="shared" si="1"/>
        <v>26570857</v>
      </c>
      <c r="T15" s="24"/>
    </row>
    <row r="16" spans="1:20" s="23" customFormat="1" ht="55.5" customHeight="1">
      <c r="A16" s="66" t="s">
        <v>126</v>
      </c>
      <c r="B16" s="66" t="s">
        <v>360</v>
      </c>
      <c r="C16" s="66" t="s">
        <v>63</v>
      </c>
      <c r="D16" s="118" t="s">
        <v>89</v>
      </c>
      <c r="E16" s="7" t="s">
        <v>55</v>
      </c>
      <c r="F16" s="4">
        <f>G16+J16</f>
        <v>9651260</v>
      </c>
      <c r="G16" s="4">
        <f>7637200+50000+100000+117400-52500+50000+331000+1358160+60000</f>
        <v>9651260</v>
      </c>
      <c r="H16" s="12"/>
      <c r="I16" s="12"/>
      <c r="J16" s="12"/>
      <c r="K16" s="4">
        <f t="shared" si="4"/>
        <v>1532102</v>
      </c>
      <c r="L16" s="4">
        <f>1747202-150000-117400-50000-30000+132300</f>
        <v>1532102</v>
      </c>
      <c r="M16" s="4"/>
      <c r="N16" s="4"/>
      <c r="O16" s="12"/>
      <c r="P16" s="12">
        <f>1747202-150000-117400-50000-30000+132300</f>
        <v>1532102</v>
      </c>
      <c r="Q16" s="4">
        <f t="shared" si="1"/>
        <v>11183362</v>
      </c>
      <c r="T16" s="24"/>
    </row>
    <row r="17" spans="1:20" s="23" customFormat="1" ht="44.45" customHeight="1">
      <c r="A17" s="66" t="s">
        <v>125</v>
      </c>
      <c r="B17" s="66" t="s">
        <v>361</v>
      </c>
      <c r="C17" s="66" t="s">
        <v>64</v>
      </c>
      <c r="D17" s="6" t="s">
        <v>109</v>
      </c>
      <c r="E17" s="7"/>
      <c r="F17" s="41">
        <f>G17+J17</f>
        <v>3421977.48</v>
      </c>
      <c r="G17" s="41">
        <f>1754500+0.48+45652+50000+20774+60000+488000+927289+50000+10962+14800</f>
        <v>3421977.48</v>
      </c>
      <c r="H17" s="12"/>
      <c r="I17" s="12"/>
      <c r="J17" s="12"/>
      <c r="K17" s="4">
        <f t="shared" si="4"/>
        <v>299826</v>
      </c>
      <c r="L17" s="4">
        <f>1220600-900000-20774</f>
        <v>299826</v>
      </c>
      <c r="M17" s="4"/>
      <c r="N17" s="4"/>
      <c r="O17" s="12"/>
      <c r="P17" s="47">
        <f>1220600-900000-20774</f>
        <v>299826</v>
      </c>
      <c r="Q17" s="41">
        <f t="shared" si="1"/>
        <v>3721803.48</v>
      </c>
      <c r="T17" s="24"/>
    </row>
    <row r="18" spans="1:20" s="23" customFormat="1" ht="56.25" customHeight="1">
      <c r="A18" s="66" t="s">
        <v>219</v>
      </c>
      <c r="B18" s="66" t="s">
        <v>362</v>
      </c>
      <c r="C18" s="66" t="s">
        <v>220</v>
      </c>
      <c r="D18" s="6" t="s">
        <v>503</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2730128.27</v>
      </c>
      <c r="G22" s="41">
        <f>165600+534400+28.27+368500+1661600</f>
        <v>2730128.27</v>
      </c>
      <c r="H22" s="12"/>
      <c r="I22" s="12"/>
      <c r="J22" s="12"/>
      <c r="K22" s="4">
        <f t="shared" si="4"/>
        <v>0</v>
      </c>
      <c r="L22" s="4"/>
      <c r="M22" s="4"/>
      <c r="N22" s="4"/>
      <c r="O22" s="12"/>
      <c r="P22" s="12"/>
      <c r="Q22" s="41">
        <f t="shared" si="1"/>
        <v>2730128.27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 customHeight="1">
      <c r="A25" s="66" t="s">
        <v>223</v>
      </c>
      <c r="B25" s="66" t="s">
        <v>369</v>
      </c>
      <c r="C25" s="66" t="s">
        <v>65</v>
      </c>
      <c r="D25" s="118" t="s">
        <v>299</v>
      </c>
      <c r="E25" s="7"/>
      <c r="F25" s="4">
        <f t="shared" si="3"/>
        <v>274000</v>
      </c>
      <c r="G25" s="4">
        <f>44000+130000+100000</f>
        <v>274000</v>
      </c>
      <c r="H25" s="12"/>
      <c r="I25" s="12"/>
      <c r="J25" s="12"/>
      <c r="K25" s="4">
        <f t="shared" si="4"/>
        <v>0</v>
      </c>
      <c r="L25" s="4"/>
      <c r="M25" s="4"/>
      <c r="N25" s="4"/>
      <c r="O25" s="12"/>
      <c r="P25" s="12"/>
      <c r="Q25" s="4">
        <f t="shared" si="1"/>
        <v>274000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22"/>
    </row>
    <row r="31" spans="1:20" s="8" customFormat="1" ht="54.75" customHeight="1">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15"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594296</v>
      </c>
      <c r="L36" s="4">
        <f>672600-13304-165000+40000+60000</f>
        <v>594296</v>
      </c>
      <c r="M36" s="4"/>
      <c r="N36" s="4"/>
      <c r="O36" s="12"/>
      <c r="P36" s="12">
        <f>672600-13304-165000+40000+60000</f>
        <v>594296</v>
      </c>
      <c r="Q36" s="4">
        <f t="shared" si="1"/>
        <v>1697885</v>
      </c>
      <c r="T36" s="22"/>
    </row>
    <row r="37" spans="1:20" s="8" customFormat="1" ht="62.45"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 customHeight="1">
      <c r="A41" s="66" t="s">
        <v>290</v>
      </c>
      <c r="B41" s="66" t="s">
        <v>382</v>
      </c>
      <c r="C41" s="66" t="s">
        <v>210</v>
      </c>
      <c r="D41" s="118" t="s">
        <v>291</v>
      </c>
      <c r="E41" s="7"/>
      <c r="F41" s="4">
        <f t="shared" si="3"/>
        <v>50004</v>
      </c>
      <c r="G41" s="48">
        <f>50000+4</f>
        <v>50004</v>
      </c>
      <c r="H41" s="49"/>
      <c r="I41" s="49"/>
      <c r="J41" s="49"/>
      <c r="K41" s="4">
        <f t="shared" si="4"/>
        <v>0</v>
      </c>
      <c r="L41" s="48"/>
      <c r="M41" s="48"/>
      <c r="N41" s="48"/>
      <c r="O41" s="49"/>
      <c r="P41" s="49"/>
      <c r="Q41" s="4">
        <f t="shared" si="1"/>
        <v>50004</v>
      </c>
      <c r="T41" s="22"/>
    </row>
    <row r="42" spans="1:20" s="8" customFormat="1" ht="37.9"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15"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15"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50000000000003"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50000000000003"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5" customHeight="1">
      <c r="A47" s="74" t="s">
        <v>142</v>
      </c>
      <c r="B47" s="74" t="s">
        <v>142</v>
      </c>
      <c r="C47" s="83"/>
      <c r="D47" s="84" t="s">
        <v>28</v>
      </c>
      <c r="E47" s="83" t="s">
        <v>28</v>
      </c>
      <c r="F47" s="77">
        <f>F48</f>
        <v>225401701.54999998</v>
      </c>
      <c r="G47" s="77">
        <f t="shared" ref="G47:P47" si="5">G48</f>
        <v>225401701.54999998</v>
      </c>
      <c r="H47" s="77">
        <f t="shared" si="5"/>
        <v>175075737.91</v>
      </c>
      <c r="I47" s="78">
        <f t="shared" si="5"/>
        <v>24847013.859999999</v>
      </c>
      <c r="J47" s="78">
        <f t="shared" si="5"/>
        <v>0</v>
      </c>
      <c r="K47" s="77">
        <f t="shared" si="5"/>
        <v>25356422.259999998</v>
      </c>
      <c r="L47" s="77">
        <f t="shared" si="5"/>
        <v>16575822.26</v>
      </c>
      <c r="M47" s="78">
        <f t="shared" si="5"/>
        <v>8780600</v>
      </c>
      <c r="N47" s="78">
        <f t="shared" si="5"/>
        <v>231800</v>
      </c>
      <c r="O47" s="78">
        <f t="shared" si="5"/>
        <v>296300</v>
      </c>
      <c r="P47" s="77">
        <f t="shared" si="5"/>
        <v>16575822.26</v>
      </c>
      <c r="Q47" s="77">
        <f t="shared" ref="Q47:Q73" si="6">F47+K47</f>
        <v>250758123.80999997</v>
      </c>
      <c r="T47" s="24"/>
    </row>
    <row r="48" spans="1:20" s="26" customFormat="1" ht="31.15" customHeight="1">
      <c r="A48" s="79" t="s">
        <v>143</v>
      </c>
      <c r="B48" s="79" t="s">
        <v>143</v>
      </c>
      <c r="C48" s="85"/>
      <c r="D48" s="86" t="s">
        <v>180</v>
      </c>
      <c r="E48" s="85"/>
      <c r="F48" s="87">
        <f>G48</f>
        <v>225401701.54999998</v>
      </c>
      <c r="G48" s="87">
        <f>SUM(G49:G66)</f>
        <v>225401701.54999998</v>
      </c>
      <c r="H48" s="87">
        <f>SUM(H49:H66)</f>
        <v>175075737.91</v>
      </c>
      <c r="I48" s="87">
        <f>SUM(I49:I66)</f>
        <v>24847013.859999999</v>
      </c>
      <c r="J48" s="87">
        <f t="shared" ref="J48:P48" si="7">SUM(J49:J65)+J66</f>
        <v>0</v>
      </c>
      <c r="K48" s="87">
        <f t="shared" si="7"/>
        <v>25356422.259999998</v>
      </c>
      <c r="L48" s="87">
        <f t="shared" si="7"/>
        <v>16575822.26</v>
      </c>
      <c r="M48" s="87">
        <f t="shared" si="7"/>
        <v>8780600</v>
      </c>
      <c r="N48" s="87">
        <f t="shared" si="7"/>
        <v>231800</v>
      </c>
      <c r="O48" s="87">
        <f t="shared" si="7"/>
        <v>296300</v>
      </c>
      <c r="P48" s="87">
        <f t="shared" si="7"/>
        <v>16575822.26</v>
      </c>
      <c r="Q48" s="87">
        <f t="shared" si="6"/>
        <v>250758123.80999997</v>
      </c>
      <c r="T48" s="24"/>
    </row>
    <row r="49" spans="1:20" s="8" customFormat="1" ht="59.45"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53432327.859999999</v>
      </c>
      <c r="G51" s="41">
        <f>54671800-3473160+1000000+113460+62906.86+10301+2000+30000+8930+1000000+6090</f>
        <v>53432327.859999999</v>
      </c>
      <c r="H51" s="50">
        <f>40565000-3473160+1000000+62906.86+1000000+6090</f>
        <v>39160836.859999999</v>
      </c>
      <c r="I51" s="12">
        <f>7750800-540000</f>
        <v>7210800</v>
      </c>
      <c r="J51" s="12"/>
      <c r="K51" s="4">
        <f t="shared" si="8"/>
        <v>5057000</v>
      </c>
      <c r="L51" s="4">
        <v>227000</v>
      </c>
      <c r="M51" s="12">
        <v>4830000</v>
      </c>
      <c r="N51" s="4"/>
      <c r="O51" s="12"/>
      <c r="P51" s="12">
        <v>227000</v>
      </c>
      <c r="Q51" s="4">
        <f t="shared" si="6"/>
        <v>58489327.859999999</v>
      </c>
      <c r="T51" s="22"/>
    </row>
    <row r="52" spans="1:20" s="8" customFormat="1" ht="80.25" customHeight="1">
      <c r="A52" s="66" t="s">
        <v>148</v>
      </c>
      <c r="B52" s="66" t="s">
        <v>82</v>
      </c>
      <c r="C52" s="66" t="s">
        <v>74</v>
      </c>
      <c r="D52" s="119" t="s">
        <v>498</v>
      </c>
      <c r="E52" s="7" t="s">
        <v>40</v>
      </c>
      <c r="F52" s="41">
        <f t="shared" si="3"/>
        <v>151817108.5</v>
      </c>
      <c r="G52" s="41">
        <f>4500000+55000+133928070+3473160+399830+4376000+140000+85000+77000+183000+50000+100000+20000+1989500+33920+2092901.52-174233+15000+22970+1443351.5+488570.5-2581472.02+1155581-184439+128398</f>
        <v>151817108.5</v>
      </c>
      <c r="H52" s="51">
        <f>111752000+4376000+1989500+1443351.5</f>
        <v>119560851.5</v>
      </c>
      <c r="I52" s="12">
        <f>16675710-30000</f>
        <v>16645710</v>
      </c>
      <c r="J52" s="12"/>
      <c r="K52" s="4">
        <f t="shared" si="8"/>
        <v>5162585</v>
      </c>
      <c r="L52" s="41">
        <f>715500+10000-33920-15500+504364+56041</f>
        <v>1236485</v>
      </c>
      <c r="M52" s="12">
        <v>3926100</v>
      </c>
      <c r="N52" s="4">
        <v>231800</v>
      </c>
      <c r="O52" s="12">
        <v>296300</v>
      </c>
      <c r="P52" s="50">
        <f>715500+10000-33920-15500+504364+56041</f>
        <v>1236485</v>
      </c>
      <c r="Q52" s="4">
        <f>F52+K52</f>
        <v>156979693.5</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15"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 customHeight="1">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15"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4025146.64</v>
      </c>
      <c r="G59" s="4">
        <f>6611000+650000+164550+250000+9200+75000+10000-3744603.36</f>
        <v>4025146.64</v>
      </c>
      <c r="H59" s="12">
        <f>5490000-3009900</f>
        <v>2480100</v>
      </c>
      <c r="I59" s="12">
        <f>531040-408516.14</f>
        <v>122523.85999999999</v>
      </c>
      <c r="J59" s="12"/>
      <c r="K59" s="4">
        <f t="shared" si="8"/>
        <v>292710</v>
      </c>
      <c r="L59" s="4">
        <f>90000+231000-22200-6090</f>
        <v>292710</v>
      </c>
      <c r="M59" s="12"/>
      <c r="N59" s="4"/>
      <c r="O59" s="12"/>
      <c r="P59" s="12">
        <f>90000+231000-22200-6090</f>
        <v>292710</v>
      </c>
      <c r="Q59" s="4">
        <f t="shared" si="6"/>
        <v>4317856.6400000006</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5228427.26</v>
      </c>
      <c r="L61" s="41">
        <f>1168223.41+2477819.35+350468+743346-2092901.52+2581472.02</f>
        <v>5228427.26</v>
      </c>
      <c r="M61" s="12"/>
      <c r="N61" s="4"/>
      <c r="O61" s="12"/>
      <c r="P61" s="50">
        <f>1168223.41+2477819.35+350468+743346-2092901.52+2581472.02</f>
        <v>5228427.26</v>
      </c>
      <c r="Q61" s="4">
        <f t="shared" si="6"/>
        <v>5228427.26</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25843460</v>
      </c>
      <c r="G67" s="77">
        <f t="shared" ref="G67:P67" si="9">G68</f>
        <v>25843460</v>
      </c>
      <c r="H67" s="78">
        <f t="shared" si="9"/>
        <v>20906700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26126760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25843460</v>
      </c>
      <c r="G68" s="87">
        <f>G69+G70+G71+G72+G73+G74+G75+G76+G77+G78+G79+G88+G90+G91+G92+G93+G94+G96+G97+G98+G99+G100+G101+G103+G104+G102+G108+G95+G105+G107</f>
        <v>25843460</v>
      </c>
      <c r="H68" s="87">
        <f t="shared" ref="H68:O68" si="10">H69+H70+H71+H72+H73+H74+H75+H76+H77+H78+H79+H88+H90+H91+H92+H93+H94+H96+H97+H98+H99+H100+H101+H103+H104+H102+H108+H95+H105+H107</f>
        <v>20906700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26126760</v>
      </c>
      <c r="T68" s="24"/>
    </row>
    <row r="69" spans="1:20" s="8" customFormat="1" ht="61.15"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5"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5"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5"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15"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6154210</v>
      </c>
      <c r="G97" s="4">
        <f>5672500+54100+85500+342110</f>
        <v>6154210</v>
      </c>
      <c r="H97" s="12">
        <f>5364000+342110</f>
        <v>5706110</v>
      </c>
      <c r="I97" s="12">
        <v>212600</v>
      </c>
      <c r="J97" s="12"/>
      <c r="K97" s="4">
        <f t="shared" ref="K97:K108" si="21">M97+P97</f>
        <v>145000</v>
      </c>
      <c r="L97" s="4"/>
      <c r="M97" s="12">
        <v>145000</v>
      </c>
      <c r="N97" s="4">
        <v>118000</v>
      </c>
      <c r="O97" s="12"/>
      <c r="P97" s="12"/>
      <c r="Q97" s="4">
        <f t="shared" ref="Q97:Q108" si="22">F97+K97</f>
        <v>6299210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5"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15"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511</v>
      </c>
      <c r="B106" s="66" t="s">
        <v>512</v>
      </c>
      <c r="C106" s="66" t="s">
        <v>83</v>
      </c>
      <c r="D106" s="118" t="s">
        <v>513</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5"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5" customHeight="1">
      <c r="A109" s="74" t="s">
        <v>87</v>
      </c>
      <c r="B109" s="74" t="s">
        <v>87</v>
      </c>
      <c r="C109" s="88"/>
      <c r="D109" s="84" t="s">
        <v>35</v>
      </c>
      <c r="E109" s="83" t="s">
        <v>35</v>
      </c>
      <c r="F109" s="77">
        <f>F110</f>
        <v>27225489</v>
      </c>
      <c r="G109" s="77">
        <f t="shared" ref="G109:P109" si="23">G110</f>
        <v>27225489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28445989</v>
      </c>
      <c r="R109" s="90"/>
      <c r="T109" s="92"/>
    </row>
    <row r="110" spans="1:20" s="91" customFormat="1" ht="43.9" customHeight="1">
      <c r="A110" s="79" t="s">
        <v>144</v>
      </c>
      <c r="B110" s="79" t="s">
        <v>427</v>
      </c>
      <c r="C110" s="89"/>
      <c r="D110" s="86" t="str">
        <f>D109</f>
        <v>Управління культури і туризму міської ради</v>
      </c>
      <c r="E110" s="85"/>
      <c r="F110" s="87">
        <f>SUM(F111:F120)</f>
        <v>27225489</v>
      </c>
      <c r="G110" s="87">
        <f t="shared" ref="G110:P110" si="24">SUM(G111:G120)</f>
        <v>27225489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2" si="25">F110+K110</f>
        <v>28445989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4853641</v>
      </c>
      <c r="G115" s="4">
        <f>2784200+160000+14100+15000+24141+913000+923000+20200</f>
        <v>4853641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5038641</v>
      </c>
      <c r="T115" s="24"/>
    </row>
    <row r="116" spans="1:20" s="26" customFormat="1" ht="52.15"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5.450000000000003"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5"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8941012.3599999994</v>
      </c>
      <c r="G121" s="77">
        <f t="shared" ref="G121:P121" si="28">G122</f>
        <v>8941012.3599999994</v>
      </c>
      <c r="H121" s="78">
        <f t="shared" si="28"/>
        <v>5275200</v>
      </c>
      <c r="I121" s="106">
        <f t="shared" si="28"/>
        <v>579516.14</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9750602.3599999994</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SUM(F123:F131)</f>
        <v>8941012.3599999994</v>
      </c>
      <c r="G122" s="87">
        <f>SUM(G123:G131)</f>
        <v>8941012.3599999994</v>
      </c>
      <c r="H122" s="87">
        <f t="shared" ref="H122:P122" si="29">SUM(H123:H131)</f>
        <v>5275200</v>
      </c>
      <c r="I122" s="87">
        <f t="shared" si="29"/>
        <v>579516.14</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9750602.3599999994</v>
      </c>
      <c r="T122" s="24"/>
    </row>
    <row r="123" spans="1:20" s="26" customFormat="1" ht="55.15" customHeight="1">
      <c r="A123" s="66" t="s">
        <v>154</v>
      </c>
      <c r="B123" s="66" t="s">
        <v>358</v>
      </c>
      <c r="C123" s="66" t="s">
        <v>61</v>
      </c>
      <c r="D123" s="117" t="s">
        <v>308</v>
      </c>
      <c r="E123" s="7"/>
      <c r="F123" s="4">
        <f t="shared" ref="F123:F131"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 customHeight="1">
      <c r="A125" s="66" t="s">
        <v>207</v>
      </c>
      <c r="B125" s="66" t="s">
        <v>434</v>
      </c>
      <c r="C125" s="66" t="s">
        <v>77</v>
      </c>
      <c r="D125" s="119" t="s">
        <v>94</v>
      </c>
      <c r="E125" s="7"/>
      <c r="F125" s="4">
        <f t="shared" si="30"/>
        <v>835500</v>
      </c>
      <c r="G125" s="4">
        <f>802000+33500</f>
        <v>835500</v>
      </c>
      <c r="H125" s="12"/>
      <c r="I125" s="12"/>
      <c r="J125" s="12"/>
      <c r="K125" s="4">
        <f t="shared" ref="K125:K131" si="31">M125+P125</f>
        <v>50000</v>
      </c>
      <c r="L125" s="4">
        <v>50000</v>
      </c>
      <c r="M125" s="12"/>
      <c r="N125" s="4"/>
      <c r="O125" s="12"/>
      <c r="P125" s="12">
        <f>L125</f>
        <v>50000</v>
      </c>
      <c r="Q125" s="4">
        <f t="shared" si="25"/>
        <v>885500</v>
      </c>
      <c r="T125" s="24"/>
    </row>
    <row r="126" spans="1:20" s="26" customFormat="1" ht="56.45"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391</v>
      </c>
      <c r="C127" s="69" t="s">
        <v>77</v>
      </c>
      <c r="D127" s="122" t="s">
        <v>93</v>
      </c>
      <c r="E127" s="7"/>
      <c r="F127" s="4">
        <f t="shared" ref="F127" si="32">G127+J127</f>
        <v>3744603.36</v>
      </c>
      <c r="G127" s="4">
        <v>3744603.36</v>
      </c>
      <c r="H127" s="12">
        <v>3009900</v>
      </c>
      <c r="I127" s="134">
        <v>408516.14</v>
      </c>
      <c r="J127" s="12"/>
      <c r="K127" s="4">
        <f t="shared" ref="K127" si="33">M127+P127</f>
        <v>0</v>
      </c>
      <c r="L127" s="4"/>
      <c r="M127" s="12"/>
      <c r="N127" s="4"/>
      <c r="O127" s="12"/>
      <c r="P127" s="12"/>
      <c r="Q127" s="4">
        <f t="shared" ref="Q127" si="34">F127+K127</f>
        <v>3744603.36</v>
      </c>
      <c r="T127" s="24"/>
    </row>
    <row r="128" spans="1:20" s="26" customFormat="1" ht="54.6" customHeight="1">
      <c r="A128" s="66" t="s">
        <v>157</v>
      </c>
      <c r="B128" s="66" t="s">
        <v>436</v>
      </c>
      <c r="C128" s="66" t="s">
        <v>77</v>
      </c>
      <c r="D128" s="119" t="s">
        <v>96</v>
      </c>
      <c r="E128" s="7"/>
      <c r="F128" s="4">
        <f t="shared" si="30"/>
        <v>1221000</v>
      </c>
      <c r="G128" s="4">
        <f>1100000+121000</f>
        <v>1221000</v>
      </c>
      <c r="H128" s="12"/>
      <c r="I128" s="12"/>
      <c r="J128" s="12"/>
      <c r="K128" s="4">
        <f t="shared" si="31"/>
        <v>0</v>
      </c>
      <c r="L128" s="4"/>
      <c r="M128" s="12"/>
      <c r="N128" s="4"/>
      <c r="O128" s="12"/>
      <c r="P128" s="12"/>
      <c r="Q128" s="4">
        <f t="shared" si="25"/>
        <v>1221000</v>
      </c>
      <c r="T128" s="24"/>
    </row>
    <row r="129" spans="1:20" s="26" customFormat="1" ht="91.5" customHeight="1">
      <c r="A129" s="66" t="s">
        <v>156</v>
      </c>
      <c r="B129" s="66" t="s">
        <v>437</v>
      </c>
      <c r="C129" s="66" t="s">
        <v>77</v>
      </c>
      <c r="D129" s="119" t="s">
        <v>302</v>
      </c>
      <c r="E129" s="7"/>
      <c r="F129" s="4">
        <f t="shared" si="30"/>
        <v>1979639</v>
      </c>
      <c r="G129" s="4">
        <f>1550000+10000+6000+94439+180000+139200</f>
        <v>1979639</v>
      </c>
      <c r="H129" s="12">
        <f>1115000+235100</f>
        <v>1350100</v>
      </c>
      <c r="I129" s="12">
        <v>150900</v>
      </c>
      <c r="J129" s="12"/>
      <c r="K129" s="4">
        <f t="shared" si="31"/>
        <v>732090</v>
      </c>
      <c r="L129" s="4">
        <f>318800+90000+246990</f>
        <v>655790</v>
      </c>
      <c r="M129" s="12">
        <v>76300</v>
      </c>
      <c r="N129" s="4">
        <v>59200</v>
      </c>
      <c r="O129" s="12"/>
      <c r="P129" s="12">
        <f>318800+90000+246990</f>
        <v>655790</v>
      </c>
      <c r="Q129" s="4">
        <f>F129+K129</f>
        <v>2711729</v>
      </c>
      <c r="T129" s="24"/>
    </row>
    <row r="130" spans="1:20" s="26" customFormat="1" ht="48.6" hidden="1" customHeight="1">
      <c r="A130" s="66" t="s">
        <v>285</v>
      </c>
      <c r="B130" s="66" t="s">
        <v>378</v>
      </c>
      <c r="C130" s="66" t="s">
        <v>210</v>
      </c>
      <c r="D130" s="119" t="s">
        <v>276</v>
      </c>
      <c r="E130" s="7"/>
      <c r="F130" s="4">
        <f t="shared" si="30"/>
        <v>0</v>
      </c>
      <c r="G130" s="4">
        <v>0</v>
      </c>
      <c r="H130" s="12"/>
      <c r="I130" s="12"/>
      <c r="J130" s="12"/>
      <c r="K130" s="4">
        <f t="shared" si="31"/>
        <v>0</v>
      </c>
      <c r="L130" s="4"/>
      <c r="M130" s="12"/>
      <c r="N130" s="4"/>
      <c r="O130" s="12"/>
      <c r="P130" s="12">
        <f>L130</f>
        <v>0</v>
      </c>
      <c r="Q130" s="4">
        <f>F130+K130</f>
        <v>0</v>
      </c>
      <c r="T130" s="24"/>
    </row>
    <row r="131" spans="1:20" s="8" customFormat="1" ht="38.450000000000003" customHeight="1">
      <c r="A131" s="66" t="s">
        <v>475</v>
      </c>
      <c r="B131" s="66" t="s">
        <v>465</v>
      </c>
      <c r="C131" s="66" t="s">
        <v>466</v>
      </c>
      <c r="D131" s="119" t="s">
        <v>467</v>
      </c>
      <c r="E131" s="13"/>
      <c r="F131" s="4">
        <f t="shared" si="30"/>
        <v>11670</v>
      </c>
      <c r="G131" s="48">
        <v>11670</v>
      </c>
      <c r="H131" s="49"/>
      <c r="I131" s="49"/>
      <c r="J131" s="49"/>
      <c r="K131" s="4">
        <f t="shared" si="31"/>
        <v>27500</v>
      </c>
      <c r="L131" s="48">
        <f>8500+19000</f>
        <v>27500</v>
      </c>
      <c r="M131" s="48"/>
      <c r="N131" s="48"/>
      <c r="O131" s="49"/>
      <c r="P131" s="49">
        <f>8500+19000</f>
        <v>27500</v>
      </c>
      <c r="Q131" s="4">
        <f>F131+K131</f>
        <v>39170</v>
      </c>
      <c r="T131" s="22"/>
    </row>
    <row r="132" spans="1:20" s="26" customFormat="1" ht="67.900000000000006" customHeight="1">
      <c r="A132" s="74" t="s">
        <v>190</v>
      </c>
      <c r="B132" s="74" t="s">
        <v>190</v>
      </c>
      <c r="C132" s="88"/>
      <c r="D132" s="84" t="s">
        <v>34</v>
      </c>
      <c r="E132" s="83" t="s">
        <v>34</v>
      </c>
      <c r="F132" s="77">
        <f>F133</f>
        <v>42567265</v>
      </c>
      <c r="G132" s="77">
        <f>G133</f>
        <v>31811032</v>
      </c>
      <c r="H132" s="78">
        <f>H133</f>
        <v>4317300</v>
      </c>
      <c r="I132" s="78">
        <f>I133</f>
        <v>6194950</v>
      </c>
      <c r="J132" s="78">
        <f t="shared" ref="J132:P132" si="35">J133</f>
        <v>10756233</v>
      </c>
      <c r="K132" s="77">
        <f t="shared" si="35"/>
        <v>57525439.219999999</v>
      </c>
      <c r="L132" s="77">
        <f t="shared" si="35"/>
        <v>56171262.100000001</v>
      </c>
      <c r="M132" s="95">
        <f t="shared" si="35"/>
        <v>884177.12</v>
      </c>
      <c r="N132" s="78">
        <f t="shared" si="35"/>
        <v>0</v>
      </c>
      <c r="O132" s="78">
        <f t="shared" si="35"/>
        <v>0</v>
      </c>
      <c r="P132" s="77">
        <f t="shared" si="35"/>
        <v>56641262.100000001</v>
      </c>
      <c r="Q132" s="77">
        <f t="shared" si="25"/>
        <v>100092704.22</v>
      </c>
      <c r="T132" s="24"/>
    </row>
    <row r="133" spans="1:20" s="29" customFormat="1" ht="49.9" customHeight="1">
      <c r="A133" s="96" t="s">
        <v>191</v>
      </c>
      <c r="B133" s="96" t="s">
        <v>191</v>
      </c>
      <c r="C133" s="97"/>
      <c r="D133" s="127" t="str">
        <f>D132</f>
        <v>Управління житлово-комунального господарства та будівництва міської ради</v>
      </c>
      <c r="E133" s="98"/>
      <c r="F133" s="99">
        <f t="shared" ref="F133:O133" si="36">SUM(F134:F168)</f>
        <v>42567265</v>
      </c>
      <c r="G133" s="99">
        <f t="shared" si="36"/>
        <v>31811032</v>
      </c>
      <c r="H133" s="100">
        <f t="shared" si="36"/>
        <v>4317300</v>
      </c>
      <c r="I133" s="100">
        <f t="shared" si="36"/>
        <v>6194950</v>
      </c>
      <c r="J133" s="100">
        <f t="shared" si="36"/>
        <v>10756233</v>
      </c>
      <c r="K133" s="99">
        <f>SUM(K134:K168)+K169</f>
        <v>57525439.219999999</v>
      </c>
      <c r="L133" s="99">
        <f t="shared" si="36"/>
        <v>56171262.100000001</v>
      </c>
      <c r="M133" s="99">
        <f t="shared" si="36"/>
        <v>884177.12</v>
      </c>
      <c r="N133" s="100">
        <f t="shared" si="36"/>
        <v>0</v>
      </c>
      <c r="O133" s="100">
        <f t="shared" si="36"/>
        <v>0</v>
      </c>
      <c r="P133" s="100">
        <f>SUM(P134:P168)+P169</f>
        <v>56641262.100000001</v>
      </c>
      <c r="Q133" s="87">
        <f t="shared" ref="Q133:Q189" si="37">F133+K133</f>
        <v>100092704.22</v>
      </c>
      <c r="T133" s="30"/>
    </row>
    <row r="134" spans="1:20" s="8" customFormat="1" ht="69" customHeight="1">
      <c r="A134" s="66" t="s">
        <v>192</v>
      </c>
      <c r="B134" s="66" t="s">
        <v>358</v>
      </c>
      <c r="C134" s="66" t="s">
        <v>61</v>
      </c>
      <c r="D134" s="117" t="s">
        <v>308</v>
      </c>
      <c r="E134" s="7" t="s">
        <v>2</v>
      </c>
      <c r="F134" s="4">
        <f t="shared" ref="F134:F161" si="38">G134+J134</f>
        <v>4617900</v>
      </c>
      <c r="G134" s="4">
        <f>4407900+210000</f>
        <v>4617900</v>
      </c>
      <c r="H134" s="12">
        <f>4107300+210000</f>
        <v>4317300</v>
      </c>
      <c r="I134" s="12">
        <v>192950</v>
      </c>
      <c r="J134" s="12"/>
      <c r="K134" s="4">
        <f t="shared" ref="K134:K169" si="39">M134+P134</f>
        <v>200000</v>
      </c>
      <c r="L134" s="4"/>
      <c r="M134" s="62">
        <v>100000</v>
      </c>
      <c r="N134" s="4"/>
      <c r="O134" s="12"/>
      <c r="P134" s="12">
        <v>100000</v>
      </c>
      <c r="Q134" s="4">
        <f t="shared" si="37"/>
        <v>4817900</v>
      </c>
      <c r="T134" s="22"/>
    </row>
    <row r="135" spans="1:20" s="8" customFormat="1" ht="21" customHeight="1">
      <c r="A135" s="66" t="s">
        <v>284</v>
      </c>
      <c r="B135" s="66" t="s">
        <v>280</v>
      </c>
      <c r="C135" s="66" t="s">
        <v>72</v>
      </c>
      <c r="D135" s="117" t="s">
        <v>139</v>
      </c>
      <c r="E135" s="7"/>
      <c r="F135" s="4">
        <f t="shared" si="38"/>
        <v>23000</v>
      </c>
      <c r="G135" s="4">
        <f>20000+3000</f>
        <v>23000</v>
      </c>
      <c r="H135" s="12"/>
      <c r="I135" s="12"/>
      <c r="J135" s="12"/>
      <c r="K135" s="4">
        <f t="shared" si="39"/>
        <v>0</v>
      </c>
      <c r="L135" s="4"/>
      <c r="M135" s="53"/>
      <c r="N135" s="4"/>
      <c r="O135" s="12"/>
      <c r="P135" s="12"/>
      <c r="Q135" s="4">
        <f t="shared" si="37"/>
        <v>23000</v>
      </c>
      <c r="T135" s="22"/>
    </row>
    <row r="136" spans="1:20" s="8" customFormat="1" ht="37.15" customHeight="1">
      <c r="A136" s="66" t="s">
        <v>314</v>
      </c>
      <c r="B136" s="66" t="s">
        <v>425</v>
      </c>
      <c r="C136" s="66" t="s">
        <v>312</v>
      </c>
      <c r="D136" s="119" t="s">
        <v>311</v>
      </c>
      <c r="E136" s="7"/>
      <c r="F136" s="4">
        <f t="shared" si="38"/>
        <v>95000</v>
      </c>
      <c r="G136" s="4">
        <v>95000</v>
      </c>
      <c r="H136" s="12"/>
      <c r="I136" s="12"/>
      <c r="J136" s="12"/>
      <c r="K136" s="4">
        <f t="shared" ref="K136:K141" si="40">M136+P136</f>
        <v>0</v>
      </c>
      <c r="L136" s="4"/>
      <c r="M136" s="53"/>
      <c r="N136" s="4"/>
      <c r="O136" s="12"/>
      <c r="P136" s="12"/>
      <c r="Q136" s="4">
        <f t="shared" ref="Q136:Q141" si="41">F136+K136</f>
        <v>95000</v>
      </c>
      <c r="T136" s="22"/>
    </row>
    <row r="137" spans="1:20" s="8" customFormat="1" ht="48" hidden="1" customHeight="1">
      <c r="A137" s="66" t="s">
        <v>343</v>
      </c>
      <c r="B137" s="66" t="s">
        <v>438</v>
      </c>
      <c r="C137" s="66" t="s">
        <v>77</v>
      </c>
      <c r="D137" s="119" t="s">
        <v>344</v>
      </c>
      <c r="E137" s="7"/>
      <c r="F137" s="4">
        <f t="shared" si="38"/>
        <v>0</v>
      </c>
      <c r="G137" s="4"/>
      <c r="H137" s="12"/>
      <c r="I137" s="12"/>
      <c r="J137" s="12"/>
      <c r="K137" s="4">
        <f t="shared" si="40"/>
        <v>0</v>
      </c>
      <c r="L137" s="4"/>
      <c r="M137" s="53"/>
      <c r="N137" s="4"/>
      <c r="O137" s="12"/>
      <c r="P137" s="12">
        <f>L137</f>
        <v>0</v>
      </c>
      <c r="Q137" s="4">
        <f t="shared" si="41"/>
        <v>0</v>
      </c>
      <c r="T137" s="22"/>
    </row>
    <row r="138" spans="1:20" s="25" customFormat="1" ht="34.15" hidden="1" customHeight="1">
      <c r="A138" s="66" t="s">
        <v>193</v>
      </c>
      <c r="B138" s="66" t="s">
        <v>439</v>
      </c>
      <c r="C138" s="66" t="s">
        <v>68</v>
      </c>
      <c r="D138" s="119" t="s">
        <v>288</v>
      </c>
      <c r="E138" s="3" t="s">
        <v>45</v>
      </c>
      <c r="F138" s="4">
        <f t="shared" si="38"/>
        <v>0</v>
      </c>
      <c r="G138" s="4"/>
      <c r="H138" s="12"/>
      <c r="I138" s="12"/>
      <c r="J138" s="12"/>
      <c r="K138" s="4">
        <f t="shared" si="40"/>
        <v>0</v>
      </c>
      <c r="L138" s="4"/>
      <c r="M138" s="53"/>
      <c r="N138" s="4"/>
      <c r="O138" s="12"/>
      <c r="P138" s="12"/>
      <c r="Q138" s="4">
        <f t="shared" si="41"/>
        <v>0</v>
      </c>
      <c r="T138" s="22"/>
    </row>
    <row r="139" spans="1:20" s="8" customFormat="1" ht="34.15" hidden="1" customHeight="1">
      <c r="A139" s="72">
        <v>1216011</v>
      </c>
      <c r="B139" s="66" t="s">
        <v>440</v>
      </c>
      <c r="C139" s="66" t="s">
        <v>68</v>
      </c>
      <c r="D139" s="118" t="s">
        <v>255</v>
      </c>
      <c r="E139" s="7"/>
      <c r="F139" s="4">
        <f t="shared" si="38"/>
        <v>0</v>
      </c>
      <c r="G139" s="4"/>
      <c r="H139" s="12"/>
      <c r="I139" s="12"/>
      <c r="J139" s="12"/>
      <c r="K139" s="4">
        <f t="shared" si="40"/>
        <v>0</v>
      </c>
      <c r="L139" s="4"/>
      <c r="M139" s="53"/>
      <c r="N139" s="4"/>
      <c r="O139" s="12"/>
      <c r="P139" s="12">
        <f>L139</f>
        <v>0</v>
      </c>
      <c r="Q139" s="4">
        <f t="shared" si="41"/>
        <v>0</v>
      </c>
      <c r="T139" s="22"/>
    </row>
    <row r="140" spans="1:20" s="8" customFormat="1" ht="54.6" customHeight="1">
      <c r="A140" s="130">
        <v>1215045</v>
      </c>
      <c r="B140" s="66" t="s">
        <v>438</v>
      </c>
      <c r="C140" s="66" t="s">
        <v>77</v>
      </c>
      <c r="D140" s="118" t="s">
        <v>514</v>
      </c>
      <c r="E140" s="7"/>
      <c r="F140" s="4">
        <f t="shared" si="38"/>
        <v>0</v>
      </c>
      <c r="G140" s="4"/>
      <c r="H140" s="12"/>
      <c r="I140" s="12"/>
      <c r="J140" s="12"/>
      <c r="K140" s="4">
        <f t="shared" si="40"/>
        <v>508839</v>
      </c>
      <c r="L140" s="4">
        <v>508839</v>
      </c>
      <c r="M140" s="53"/>
      <c r="N140" s="4"/>
      <c r="O140" s="12"/>
      <c r="P140" s="12">
        <v>508839</v>
      </c>
      <c r="Q140" s="4">
        <f t="shared" si="41"/>
        <v>508839</v>
      </c>
      <c r="T140" s="22"/>
    </row>
    <row r="141" spans="1:20" s="8" customFormat="1" ht="36" customHeight="1">
      <c r="A141" s="133">
        <v>1216011</v>
      </c>
      <c r="B141" s="66" t="s">
        <v>440</v>
      </c>
      <c r="C141" s="66" t="s">
        <v>318</v>
      </c>
      <c r="D141" s="118" t="s">
        <v>516</v>
      </c>
      <c r="E141" s="7"/>
      <c r="F141" s="4">
        <f t="shared" si="38"/>
        <v>43000</v>
      </c>
      <c r="G141" s="4">
        <v>43000</v>
      </c>
      <c r="H141" s="12"/>
      <c r="I141" s="12"/>
      <c r="J141" s="12"/>
      <c r="K141" s="4">
        <f t="shared" si="40"/>
        <v>310000</v>
      </c>
      <c r="L141" s="4">
        <v>310000</v>
      </c>
      <c r="M141" s="53"/>
      <c r="N141" s="4"/>
      <c r="O141" s="12"/>
      <c r="P141" s="12">
        <v>310000</v>
      </c>
      <c r="Q141" s="4">
        <f t="shared" si="41"/>
        <v>353000</v>
      </c>
      <c r="T141" s="22"/>
    </row>
    <row r="142" spans="1:20" s="8" customFormat="1" ht="34.15" customHeight="1">
      <c r="A142" s="72">
        <v>1216013</v>
      </c>
      <c r="B142" s="66" t="s">
        <v>441</v>
      </c>
      <c r="C142" s="66" t="s">
        <v>68</v>
      </c>
      <c r="D142" s="118" t="s">
        <v>267</v>
      </c>
      <c r="E142" s="7"/>
      <c r="F142" s="4">
        <f t="shared" si="38"/>
        <v>300000</v>
      </c>
      <c r="G142" s="4">
        <v>300000</v>
      </c>
      <c r="H142" s="12"/>
      <c r="I142" s="12"/>
      <c r="J142" s="12"/>
      <c r="K142" s="4">
        <f t="shared" si="39"/>
        <v>0</v>
      </c>
      <c r="L142" s="4"/>
      <c r="M142" s="53"/>
      <c r="N142" s="4"/>
      <c r="O142" s="12"/>
      <c r="P142" s="12"/>
      <c r="Q142" s="4">
        <f t="shared" si="37"/>
        <v>300000</v>
      </c>
      <c r="T142" s="22"/>
    </row>
    <row r="143" spans="1:20" s="8" customFormat="1" ht="52.9" customHeight="1">
      <c r="A143" s="72">
        <v>1216016</v>
      </c>
      <c r="B143" s="66" t="s">
        <v>476</v>
      </c>
      <c r="C143" s="66" t="s">
        <v>68</v>
      </c>
      <c r="D143" s="118" t="s">
        <v>477</v>
      </c>
      <c r="E143" s="7"/>
      <c r="F143" s="4">
        <f>G143+J143</f>
        <v>0</v>
      </c>
      <c r="G143" s="4"/>
      <c r="H143" s="12"/>
      <c r="I143" s="12"/>
      <c r="J143" s="12">
        <f>300000-300000</f>
        <v>0</v>
      </c>
      <c r="K143" s="4">
        <f>M143+P143</f>
        <v>0</v>
      </c>
      <c r="L143" s="4"/>
      <c r="M143" s="53"/>
      <c r="N143" s="4"/>
      <c r="O143" s="12"/>
      <c r="P143" s="12">
        <f>L143</f>
        <v>0</v>
      </c>
      <c r="Q143" s="4">
        <f>F143+K143</f>
        <v>0</v>
      </c>
      <c r="T143" s="22"/>
    </row>
    <row r="144" spans="1:20" s="8" customFormat="1" ht="34.15" hidden="1" customHeight="1">
      <c r="A144" s="72">
        <v>1216017</v>
      </c>
      <c r="B144" s="66" t="s">
        <v>442</v>
      </c>
      <c r="C144" s="66" t="s">
        <v>68</v>
      </c>
      <c r="D144" s="37" t="s">
        <v>289</v>
      </c>
      <c r="E144" s="7"/>
      <c r="F144" s="4">
        <f t="shared" si="38"/>
        <v>0</v>
      </c>
      <c r="G144" s="4"/>
      <c r="H144" s="12"/>
      <c r="I144" s="12"/>
      <c r="J144" s="12"/>
      <c r="K144" s="4">
        <f t="shared" si="39"/>
        <v>0</v>
      </c>
      <c r="L144" s="4"/>
      <c r="M144" s="53"/>
      <c r="N144" s="4"/>
      <c r="O144" s="12"/>
      <c r="P144" s="12"/>
      <c r="Q144" s="4">
        <f t="shared" si="37"/>
        <v>0</v>
      </c>
      <c r="T144" s="22"/>
    </row>
    <row r="145" spans="1:20" s="8" customFormat="1" ht="75.599999999999994" customHeight="1">
      <c r="A145" s="73">
        <v>1216020</v>
      </c>
      <c r="B145" s="66" t="s">
        <v>443</v>
      </c>
      <c r="C145" s="70" t="s">
        <v>68</v>
      </c>
      <c r="D145" s="128" t="s">
        <v>264</v>
      </c>
      <c r="E145" s="7"/>
      <c r="F145" s="4">
        <f t="shared" si="38"/>
        <v>2300000</v>
      </c>
      <c r="G145" s="4"/>
      <c r="H145" s="12"/>
      <c r="I145" s="12"/>
      <c r="J145" s="12">
        <f>500000+300000+1500000</f>
        <v>2300000</v>
      </c>
      <c r="K145" s="4">
        <f t="shared" si="39"/>
        <v>0</v>
      </c>
      <c r="L145" s="4"/>
      <c r="M145" s="53"/>
      <c r="N145" s="4"/>
      <c r="O145" s="12"/>
      <c r="P145" s="12">
        <f>L145</f>
        <v>0</v>
      </c>
      <c r="Q145" s="4">
        <f t="shared" si="37"/>
        <v>2300000</v>
      </c>
      <c r="T145" s="22"/>
    </row>
    <row r="146" spans="1:20" s="8" customFormat="1" ht="36.75" customHeight="1">
      <c r="A146" s="66" t="s">
        <v>194</v>
      </c>
      <c r="B146" s="66" t="s">
        <v>444</v>
      </c>
      <c r="C146" s="66" t="s">
        <v>68</v>
      </c>
      <c r="D146" s="119" t="s">
        <v>195</v>
      </c>
      <c r="E146" s="7" t="s">
        <v>46</v>
      </c>
      <c r="F146" s="41">
        <f t="shared" si="38"/>
        <v>22742787</v>
      </c>
      <c r="G146" s="41">
        <f>790000+150000+7200000+160000+1251196+2527126+6002000+800000-8140000+159625+310000+398950+53000+385000+385000+100000+30000+115200+113190+30000-700000-199900+40000-163000+253000+195000+195000-115200+1371000+18000+45000-9000-7400-18000+878000</f>
        <v>14602787</v>
      </c>
      <c r="H146" s="12"/>
      <c r="I146" s="12">
        <v>6002000</v>
      </c>
      <c r="J146" s="12">
        <v>8140000</v>
      </c>
      <c r="K146" s="41">
        <f t="shared" si="39"/>
        <v>564912.12</v>
      </c>
      <c r="L146" s="41">
        <f>150000+199750+90000+19000+199900-40000-90000+16400+18000</f>
        <v>563050</v>
      </c>
      <c r="M146" s="53">
        <v>1862.12</v>
      </c>
      <c r="N146" s="4"/>
      <c r="O146" s="12"/>
      <c r="P146" s="50">
        <f>L146</f>
        <v>563050</v>
      </c>
      <c r="Q146" s="41">
        <f t="shared" si="37"/>
        <v>23307699.120000001</v>
      </c>
      <c r="T146" s="22"/>
    </row>
    <row r="147" spans="1:20" s="26" customFormat="1" ht="21" customHeight="1">
      <c r="A147" s="72">
        <v>1217130</v>
      </c>
      <c r="B147" s="66" t="s">
        <v>377</v>
      </c>
      <c r="C147" s="66" t="s">
        <v>70</v>
      </c>
      <c r="D147" s="129" t="s">
        <v>116</v>
      </c>
      <c r="E147" s="13"/>
      <c r="F147" s="4">
        <f t="shared" si="38"/>
        <v>147150</v>
      </c>
      <c r="G147" s="4">
        <f>40000+80150+27000</f>
        <v>147150</v>
      </c>
      <c r="H147" s="54"/>
      <c r="I147" s="54"/>
      <c r="J147" s="4"/>
      <c r="K147" s="4">
        <f t="shared" si="39"/>
        <v>4845</v>
      </c>
      <c r="L147" s="4"/>
      <c r="M147" s="55">
        <v>4845</v>
      </c>
      <c r="N147" s="4"/>
      <c r="O147" s="4"/>
      <c r="P147" s="4"/>
      <c r="Q147" s="4">
        <f t="shared" si="37"/>
        <v>151995</v>
      </c>
      <c r="T147" s="24"/>
    </row>
    <row r="148" spans="1:20" s="8" customFormat="1" ht="34.9" hidden="1" customHeight="1">
      <c r="A148" s="66" t="s">
        <v>260</v>
      </c>
      <c r="B148" s="66" t="s">
        <v>445</v>
      </c>
      <c r="C148" s="66"/>
      <c r="D148" s="124" t="s">
        <v>500</v>
      </c>
      <c r="E148" s="13" t="s">
        <v>14</v>
      </c>
      <c r="F148" s="4">
        <f t="shared" si="38"/>
        <v>0</v>
      </c>
      <c r="G148" s="4"/>
      <c r="H148" s="12"/>
      <c r="I148" s="12"/>
      <c r="J148" s="12"/>
      <c r="K148" s="4">
        <f t="shared" si="39"/>
        <v>0</v>
      </c>
      <c r="L148" s="4"/>
      <c r="M148" s="53"/>
      <c r="N148" s="4"/>
      <c r="O148" s="12"/>
      <c r="P148" s="12">
        <f t="shared" ref="P148:P154" si="42">L148</f>
        <v>0</v>
      </c>
      <c r="Q148" s="4">
        <f t="shared" si="37"/>
        <v>0</v>
      </c>
      <c r="T148" s="22"/>
    </row>
    <row r="149" spans="1:20" s="8" customFormat="1" ht="40.5" customHeight="1">
      <c r="A149" s="66" t="s">
        <v>261</v>
      </c>
      <c r="B149" s="66" t="s">
        <v>392</v>
      </c>
      <c r="C149" s="67" t="s">
        <v>83</v>
      </c>
      <c r="D149" s="10" t="s">
        <v>501</v>
      </c>
      <c r="E149" s="13"/>
      <c r="F149" s="4">
        <f t="shared" si="38"/>
        <v>0</v>
      </c>
      <c r="G149" s="4"/>
      <c r="H149" s="12"/>
      <c r="I149" s="12"/>
      <c r="J149" s="12"/>
      <c r="K149" s="4">
        <f t="shared" si="39"/>
        <v>5049300</v>
      </c>
      <c r="L149" s="4">
        <f>5439300-890000+500000</f>
        <v>5049300</v>
      </c>
      <c r="M149" s="53"/>
      <c r="N149" s="4"/>
      <c r="O149" s="12"/>
      <c r="P149" s="12">
        <f t="shared" si="42"/>
        <v>5049300</v>
      </c>
      <c r="Q149" s="4">
        <f t="shared" si="37"/>
        <v>5049300</v>
      </c>
      <c r="T149" s="22"/>
    </row>
    <row r="150" spans="1:20" s="8" customFormat="1" ht="40.5" customHeight="1">
      <c r="A150" s="66" t="s">
        <v>515</v>
      </c>
      <c r="B150" s="66" t="s">
        <v>446</v>
      </c>
      <c r="C150" s="67" t="s">
        <v>83</v>
      </c>
      <c r="D150" s="10" t="s">
        <v>489</v>
      </c>
      <c r="E150" s="13"/>
      <c r="F150" s="4"/>
      <c r="G150" s="4"/>
      <c r="H150" s="12"/>
      <c r="I150" s="12"/>
      <c r="J150" s="12"/>
      <c r="K150" s="4">
        <f t="shared" si="39"/>
        <v>350000</v>
      </c>
      <c r="L150" s="4">
        <v>350000</v>
      </c>
      <c r="M150" s="53"/>
      <c r="N150" s="4"/>
      <c r="O150" s="12"/>
      <c r="P150" s="12">
        <v>350000</v>
      </c>
      <c r="Q150" s="4">
        <f t="shared" si="37"/>
        <v>350000</v>
      </c>
      <c r="T150" s="22"/>
    </row>
    <row r="151" spans="1:20" s="8" customFormat="1" ht="35.450000000000003" customHeight="1">
      <c r="A151" s="66" t="s">
        <v>262</v>
      </c>
      <c r="B151" s="66" t="s">
        <v>447</v>
      </c>
      <c r="C151" s="67" t="s">
        <v>83</v>
      </c>
      <c r="D151" s="10" t="s">
        <v>494</v>
      </c>
      <c r="E151" s="13"/>
      <c r="F151" s="4">
        <f t="shared" si="38"/>
        <v>0</v>
      </c>
      <c r="G151" s="4"/>
      <c r="H151" s="12"/>
      <c r="I151" s="12"/>
      <c r="J151" s="12"/>
      <c r="K151" s="4">
        <f t="shared" si="39"/>
        <v>4000000</v>
      </c>
      <c r="L151" s="4">
        <v>4000000</v>
      </c>
      <c r="M151" s="53"/>
      <c r="N151" s="4"/>
      <c r="O151" s="12"/>
      <c r="P151" s="12">
        <f t="shared" si="42"/>
        <v>4000000</v>
      </c>
      <c r="Q151" s="4">
        <f t="shared" si="37"/>
        <v>4000000</v>
      </c>
      <c r="T151" s="22"/>
    </row>
    <row r="152" spans="1:20" s="8" customFormat="1" ht="3" hidden="1" customHeight="1">
      <c r="A152" s="66" t="s">
        <v>262</v>
      </c>
      <c r="B152" s="66" t="s">
        <v>447</v>
      </c>
      <c r="C152" s="66" t="s">
        <v>83</v>
      </c>
      <c r="D152" s="40" t="s">
        <v>306</v>
      </c>
      <c r="E152" s="7"/>
      <c r="F152" s="4">
        <f t="shared" si="38"/>
        <v>0</v>
      </c>
      <c r="G152" s="4"/>
      <c r="H152" s="12"/>
      <c r="I152" s="12"/>
      <c r="J152" s="12"/>
      <c r="K152" s="4">
        <f t="shared" si="39"/>
        <v>0</v>
      </c>
      <c r="L152" s="4"/>
      <c r="M152" s="53"/>
      <c r="N152" s="4"/>
      <c r="O152" s="12"/>
      <c r="P152" s="12">
        <f t="shared" si="42"/>
        <v>0</v>
      </c>
      <c r="Q152" s="4">
        <f t="shared" si="37"/>
        <v>0</v>
      </c>
      <c r="T152" s="22"/>
    </row>
    <row r="153" spans="1:20" s="8" customFormat="1" ht="39" customHeight="1">
      <c r="A153" s="66" t="s">
        <v>263</v>
      </c>
      <c r="B153" s="66" t="s">
        <v>448</v>
      </c>
      <c r="C153" s="66" t="s">
        <v>83</v>
      </c>
      <c r="D153" s="10" t="s">
        <v>502</v>
      </c>
      <c r="E153" s="7"/>
      <c r="F153" s="4">
        <f t="shared" si="38"/>
        <v>0</v>
      </c>
      <c r="G153" s="4"/>
      <c r="H153" s="12"/>
      <c r="I153" s="12"/>
      <c r="J153" s="12"/>
      <c r="K153" s="41">
        <f t="shared" si="39"/>
        <v>11336414.1</v>
      </c>
      <c r="L153" s="41">
        <f>9765668+4976385+120000+244190+166810+170000-569490-3685649-44147.8-7352.1+50000+150000</f>
        <v>11336414.1</v>
      </c>
      <c r="M153" s="53"/>
      <c r="N153" s="4"/>
      <c r="O153" s="12"/>
      <c r="P153" s="50">
        <f t="shared" si="42"/>
        <v>11336414.1</v>
      </c>
      <c r="Q153" s="4">
        <f t="shared" si="37"/>
        <v>11336414.1</v>
      </c>
      <c r="T153" s="22"/>
    </row>
    <row r="154" spans="1:20" s="8" customFormat="1" ht="38.25" customHeight="1">
      <c r="A154" s="66" t="s">
        <v>283</v>
      </c>
      <c r="B154" s="66" t="s">
        <v>449</v>
      </c>
      <c r="C154" s="66" t="s">
        <v>83</v>
      </c>
      <c r="D154" s="10" t="s">
        <v>303</v>
      </c>
      <c r="E154" s="7"/>
      <c r="F154" s="4">
        <f t="shared" si="38"/>
        <v>0</v>
      </c>
      <c r="G154" s="4"/>
      <c r="H154" s="12"/>
      <c r="I154" s="12"/>
      <c r="J154" s="12"/>
      <c r="K154" s="4">
        <f t="shared" si="39"/>
        <v>30000</v>
      </c>
      <c r="L154" s="4">
        <f>1966000-1936000</f>
        <v>30000</v>
      </c>
      <c r="M154" s="53"/>
      <c r="N154" s="4"/>
      <c r="O154" s="12"/>
      <c r="P154" s="12">
        <f t="shared" si="42"/>
        <v>30000</v>
      </c>
      <c r="Q154" s="4">
        <f t="shared" si="37"/>
        <v>30000</v>
      </c>
      <c r="T154" s="22"/>
    </row>
    <row r="155" spans="1:20" s="8" customFormat="1" ht="31.9" hidden="1" customHeight="1">
      <c r="A155" s="66" t="s">
        <v>196</v>
      </c>
      <c r="B155" s="66" t="s">
        <v>450</v>
      </c>
      <c r="C155" s="66" t="s">
        <v>83</v>
      </c>
      <c r="D155" s="119" t="s">
        <v>197</v>
      </c>
      <c r="E155" s="7" t="s">
        <v>15</v>
      </c>
      <c r="F155" s="4">
        <f t="shared" si="38"/>
        <v>0</v>
      </c>
      <c r="G155" s="4"/>
      <c r="H155" s="12"/>
      <c r="I155" s="12"/>
      <c r="J155" s="12"/>
      <c r="K155" s="4">
        <f t="shared" si="39"/>
        <v>0</v>
      </c>
      <c r="L155" s="4"/>
      <c r="M155" s="53"/>
      <c r="N155" s="4"/>
      <c r="O155" s="12"/>
      <c r="P155" s="12">
        <f t="shared" ref="P155:P160" si="43">L155</f>
        <v>0</v>
      </c>
      <c r="Q155" s="4">
        <f t="shared" si="37"/>
        <v>0</v>
      </c>
      <c r="T155" s="22"/>
    </row>
    <row r="156" spans="1:20" s="8" customFormat="1" ht="48.6" hidden="1" customHeight="1">
      <c r="A156" s="66" t="s">
        <v>272</v>
      </c>
      <c r="B156" s="66" t="s">
        <v>451</v>
      </c>
      <c r="C156" s="66" t="s">
        <v>210</v>
      </c>
      <c r="D156" s="10" t="s">
        <v>273</v>
      </c>
      <c r="E156" s="7"/>
      <c r="F156" s="4">
        <f t="shared" si="38"/>
        <v>0</v>
      </c>
      <c r="G156" s="4"/>
      <c r="H156" s="12"/>
      <c r="I156" s="12"/>
      <c r="J156" s="12"/>
      <c r="K156" s="4">
        <f t="shared" si="39"/>
        <v>0</v>
      </c>
      <c r="L156" s="4"/>
      <c r="M156" s="53"/>
      <c r="N156" s="4"/>
      <c r="O156" s="12"/>
      <c r="P156" s="12">
        <f t="shared" si="43"/>
        <v>0</v>
      </c>
      <c r="Q156" s="4">
        <f t="shared" si="37"/>
        <v>0</v>
      </c>
      <c r="T156" s="22"/>
    </row>
    <row r="157" spans="1:20" s="8" customFormat="1" ht="48.6" hidden="1" customHeight="1">
      <c r="A157" s="66" t="s">
        <v>333</v>
      </c>
      <c r="B157" s="66" t="s">
        <v>452</v>
      </c>
      <c r="C157" s="66" t="s">
        <v>210</v>
      </c>
      <c r="D157" s="10" t="s">
        <v>334</v>
      </c>
      <c r="E157" s="7"/>
      <c r="F157" s="4">
        <f t="shared" si="38"/>
        <v>0</v>
      </c>
      <c r="G157" s="4"/>
      <c r="H157" s="12"/>
      <c r="I157" s="12"/>
      <c r="J157" s="12"/>
      <c r="K157" s="4">
        <f t="shared" si="39"/>
        <v>0</v>
      </c>
      <c r="L157" s="4"/>
      <c r="M157" s="53"/>
      <c r="N157" s="4"/>
      <c r="O157" s="12"/>
      <c r="P157" s="12">
        <f t="shared" si="43"/>
        <v>0</v>
      </c>
      <c r="Q157" s="4">
        <f t="shared" si="37"/>
        <v>0</v>
      </c>
      <c r="T157" s="22"/>
    </row>
    <row r="158" spans="1:20" s="8" customFormat="1" ht="48.6" hidden="1" customHeight="1">
      <c r="A158" s="66" t="s">
        <v>275</v>
      </c>
      <c r="B158" s="66" t="s">
        <v>378</v>
      </c>
      <c r="C158" s="66" t="s">
        <v>210</v>
      </c>
      <c r="D158" s="10" t="s">
        <v>276</v>
      </c>
      <c r="E158" s="7"/>
      <c r="F158" s="4">
        <f t="shared" si="38"/>
        <v>0</v>
      </c>
      <c r="G158" s="4"/>
      <c r="H158" s="12"/>
      <c r="I158" s="12"/>
      <c r="J158" s="12"/>
      <c r="K158" s="4">
        <f t="shared" si="39"/>
        <v>0</v>
      </c>
      <c r="L158" s="41"/>
      <c r="M158" s="53"/>
      <c r="N158" s="41"/>
      <c r="O158" s="50"/>
      <c r="P158" s="50">
        <f t="shared" si="43"/>
        <v>0</v>
      </c>
      <c r="Q158" s="4">
        <f t="shared" si="37"/>
        <v>0</v>
      </c>
      <c r="T158" s="22"/>
    </row>
    <row r="159" spans="1:20" s="8" customFormat="1" ht="60" customHeight="1">
      <c r="A159" s="66" t="s">
        <v>196</v>
      </c>
      <c r="B159" s="66" t="s">
        <v>450</v>
      </c>
      <c r="C159" s="66" t="s">
        <v>83</v>
      </c>
      <c r="D159" s="10" t="s">
        <v>463</v>
      </c>
      <c r="E159" s="7"/>
      <c r="F159" s="4">
        <f t="shared" si="38"/>
        <v>0</v>
      </c>
      <c r="G159" s="4"/>
      <c r="H159" s="12"/>
      <c r="I159" s="12"/>
      <c r="J159" s="12"/>
      <c r="K159" s="4">
        <f t="shared" si="39"/>
        <v>55300</v>
      </c>
      <c r="L159" s="41">
        <f>55300</f>
        <v>55300</v>
      </c>
      <c r="M159" s="53"/>
      <c r="N159" s="41"/>
      <c r="O159" s="50"/>
      <c r="P159" s="50">
        <f t="shared" si="43"/>
        <v>55300</v>
      </c>
      <c r="Q159" s="4">
        <f t="shared" si="37"/>
        <v>55300</v>
      </c>
      <c r="T159" s="22"/>
    </row>
    <row r="160" spans="1:20" s="8" customFormat="1" ht="57" customHeight="1">
      <c r="A160" s="66" t="s">
        <v>271</v>
      </c>
      <c r="B160" s="66" t="s">
        <v>453</v>
      </c>
      <c r="C160" s="66" t="s">
        <v>257</v>
      </c>
      <c r="D160" s="63" t="s">
        <v>270</v>
      </c>
      <c r="E160" s="7"/>
      <c r="F160" s="41">
        <f t="shared" si="38"/>
        <v>11357195</v>
      </c>
      <c r="G160" s="41">
        <f>15984972+196867+26614+31318+40999+500000-26614-5396961</f>
        <v>11357195</v>
      </c>
      <c r="H160" s="12"/>
      <c r="I160" s="12"/>
      <c r="J160" s="12"/>
      <c r="K160" s="41">
        <f t="shared" si="39"/>
        <v>27657794</v>
      </c>
      <c r="L160" s="4">
        <f>25886197-340798+45000+2058961</f>
        <v>27649360</v>
      </c>
      <c r="M160" s="53">
        <f>8434</f>
        <v>8434</v>
      </c>
      <c r="N160" s="4"/>
      <c r="O160" s="12"/>
      <c r="P160" s="12">
        <f t="shared" si="43"/>
        <v>27649360</v>
      </c>
      <c r="Q160" s="41">
        <f t="shared" si="37"/>
        <v>39014989</v>
      </c>
      <c r="T160" s="22"/>
    </row>
    <row r="161" spans="1:20" s="8" customFormat="1" ht="44.45" customHeight="1">
      <c r="A161" s="66" t="s">
        <v>478</v>
      </c>
      <c r="B161" s="66" t="s">
        <v>465</v>
      </c>
      <c r="C161" s="66" t="s">
        <v>466</v>
      </c>
      <c r="D161" s="119" t="s">
        <v>467</v>
      </c>
      <c r="E161" s="13"/>
      <c r="F161" s="4">
        <f t="shared" si="38"/>
        <v>5000</v>
      </c>
      <c r="G161" s="48">
        <v>5000</v>
      </c>
      <c r="H161" s="49"/>
      <c r="I161" s="49"/>
      <c r="J161" s="49"/>
      <c r="K161" s="4">
        <f t="shared" si="39"/>
        <v>0</v>
      </c>
      <c r="L161" s="48"/>
      <c r="M161" s="48"/>
      <c r="N161" s="48"/>
      <c r="O161" s="49"/>
      <c r="P161" s="49"/>
      <c r="Q161" s="4">
        <f>F161+K161</f>
        <v>5000</v>
      </c>
      <c r="T161" s="22"/>
    </row>
    <row r="162" spans="1:20" s="8" customFormat="1" ht="21" customHeight="1">
      <c r="A162" s="66" t="s">
        <v>479</v>
      </c>
      <c r="B162" s="66" t="s">
        <v>380</v>
      </c>
      <c r="C162" s="66" t="s">
        <v>86</v>
      </c>
      <c r="D162" s="119" t="s">
        <v>141</v>
      </c>
      <c r="E162" s="7"/>
      <c r="F162" s="4">
        <f t="shared" ref="F162:F169" si="44">G162+J162</f>
        <v>0</v>
      </c>
      <c r="G162" s="4"/>
      <c r="H162" s="12"/>
      <c r="I162" s="12"/>
      <c r="J162" s="12"/>
      <c r="K162" s="4">
        <f t="shared" si="39"/>
        <v>1248999</v>
      </c>
      <c r="L162" s="4">
        <v>1248999</v>
      </c>
      <c r="M162" s="53"/>
      <c r="N162" s="4"/>
      <c r="O162" s="12"/>
      <c r="P162" s="12">
        <v>1248999</v>
      </c>
      <c r="Q162" s="4">
        <f t="shared" si="37"/>
        <v>1248999</v>
      </c>
      <c r="T162" s="22"/>
    </row>
    <row r="163" spans="1:20" s="8" customFormat="1" ht="42.6" customHeight="1">
      <c r="A163" s="66" t="s">
        <v>254</v>
      </c>
      <c r="B163" s="66" t="s">
        <v>381</v>
      </c>
      <c r="C163" s="66" t="s">
        <v>210</v>
      </c>
      <c r="D163" s="119" t="s">
        <v>304</v>
      </c>
      <c r="E163" s="7"/>
      <c r="F163" s="4">
        <f t="shared" si="44"/>
        <v>0</v>
      </c>
      <c r="G163" s="4"/>
      <c r="H163" s="12"/>
      <c r="I163" s="12"/>
      <c r="J163" s="12"/>
      <c r="K163" s="4">
        <f>M163+P163</f>
        <v>5070000</v>
      </c>
      <c r="L163" s="4">
        <f>2250000+270000+1050000+1500000</f>
        <v>5070000</v>
      </c>
      <c r="M163" s="53"/>
      <c r="N163" s="4"/>
      <c r="O163" s="12"/>
      <c r="P163" s="12">
        <f>2250000+270000+1050000+1500000</f>
        <v>5070000</v>
      </c>
      <c r="Q163" s="4">
        <f>F163+K163</f>
        <v>5070000</v>
      </c>
      <c r="T163" s="22"/>
    </row>
    <row r="164" spans="1:20" s="8" customFormat="1" ht="42.6" customHeight="1">
      <c r="A164" s="66" t="s">
        <v>504</v>
      </c>
      <c r="B164" s="66" t="s">
        <v>505</v>
      </c>
      <c r="C164" s="66" t="s">
        <v>210</v>
      </c>
      <c r="D164" s="119" t="s">
        <v>506</v>
      </c>
      <c r="E164" s="7"/>
      <c r="F164" s="4">
        <f>G164+J164</f>
        <v>316233</v>
      </c>
      <c r="G164" s="4">
        <v>0</v>
      </c>
      <c r="H164" s="12"/>
      <c r="I164" s="12"/>
      <c r="J164" s="12">
        <f>142000+174233</f>
        <v>316233</v>
      </c>
      <c r="K164" s="4"/>
      <c r="L164" s="4"/>
      <c r="M164" s="53"/>
      <c r="N164" s="4"/>
      <c r="O164" s="12"/>
      <c r="P164" s="12"/>
      <c r="Q164" s="4"/>
      <c r="T164" s="22"/>
    </row>
    <row r="165" spans="1:20" s="8" customFormat="1" ht="61.15" customHeight="1">
      <c r="A165" s="66" t="s">
        <v>198</v>
      </c>
      <c r="B165" s="66" t="s">
        <v>383</v>
      </c>
      <c r="C165" s="66" t="s">
        <v>71</v>
      </c>
      <c r="D165" s="119" t="s">
        <v>238</v>
      </c>
      <c r="E165" s="7" t="s">
        <v>39</v>
      </c>
      <c r="F165" s="4">
        <f t="shared" si="44"/>
        <v>220000</v>
      </c>
      <c r="G165" s="4">
        <f>60000+61000+26614+72386</f>
        <v>220000</v>
      </c>
      <c r="H165" s="12"/>
      <c r="I165" s="12"/>
      <c r="J165" s="12"/>
      <c r="K165" s="4">
        <f t="shared" si="39"/>
        <v>0</v>
      </c>
      <c r="L165" s="4"/>
      <c r="M165" s="53"/>
      <c r="N165" s="4"/>
      <c r="O165" s="12"/>
      <c r="P165" s="12">
        <f>L165</f>
        <v>0</v>
      </c>
      <c r="Q165" s="4">
        <f t="shared" si="37"/>
        <v>220000</v>
      </c>
      <c r="T165" s="22"/>
    </row>
    <row r="166" spans="1:20" s="8" customFormat="1" ht="19.899999999999999" customHeight="1">
      <c r="A166" s="66" t="s">
        <v>199</v>
      </c>
      <c r="B166" s="66" t="s">
        <v>394</v>
      </c>
      <c r="C166" s="66" t="s">
        <v>71</v>
      </c>
      <c r="D166" s="119" t="s">
        <v>200</v>
      </c>
      <c r="E166" s="7" t="s">
        <v>19</v>
      </c>
      <c r="F166" s="4">
        <f t="shared" si="44"/>
        <v>100000</v>
      </c>
      <c r="G166" s="4">
        <v>100000</v>
      </c>
      <c r="H166" s="12"/>
      <c r="I166" s="12"/>
      <c r="J166" s="12"/>
      <c r="K166" s="4">
        <f t="shared" si="39"/>
        <v>0</v>
      </c>
      <c r="L166" s="4"/>
      <c r="M166" s="53"/>
      <c r="N166" s="4"/>
      <c r="O166" s="12"/>
      <c r="P166" s="12"/>
      <c r="Q166" s="4">
        <f t="shared" si="37"/>
        <v>100000</v>
      </c>
      <c r="T166" s="22"/>
    </row>
    <row r="167" spans="1:20" s="8" customFormat="1" ht="36.6" customHeight="1">
      <c r="A167" s="68" t="s">
        <v>480</v>
      </c>
      <c r="B167" s="68" t="s">
        <v>469</v>
      </c>
      <c r="C167" s="68" t="s">
        <v>470</v>
      </c>
      <c r="D167" s="120" t="s">
        <v>471</v>
      </c>
      <c r="E167" s="7" t="s">
        <v>4</v>
      </c>
      <c r="F167" s="48">
        <f t="shared" si="44"/>
        <v>300000</v>
      </c>
      <c r="G167" s="48">
        <v>300000</v>
      </c>
      <c r="H167" s="49"/>
      <c r="I167" s="49"/>
      <c r="J167" s="49"/>
      <c r="K167" s="4">
        <f t="shared" si="39"/>
        <v>0</v>
      </c>
      <c r="L167" s="48"/>
      <c r="M167" s="48"/>
      <c r="N167" s="48"/>
      <c r="O167" s="49"/>
      <c r="P167" s="49"/>
      <c r="Q167" s="4">
        <f t="shared" si="37"/>
        <v>300000</v>
      </c>
      <c r="T167" s="22"/>
    </row>
    <row r="168" spans="1:20" s="8" customFormat="1" ht="43.15" customHeight="1">
      <c r="A168" s="66" t="s">
        <v>208</v>
      </c>
      <c r="B168" s="66" t="s">
        <v>454</v>
      </c>
      <c r="C168" s="66" t="s">
        <v>201</v>
      </c>
      <c r="D168" s="119" t="s">
        <v>209</v>
      </c>
      <c r="E168" s="7" t="s">
        <v>56</v>
      </c>
      <c r="F168" s="4">
        <f t="shared" si="44"/>
        <v>0</v>
      </c>
      <c r="G168" s="4"/>
      <c r="H168" s="12"/>
      <c r="I168" s="12"/>
      <c r="J168" s="12"/>
      <c r="K168" s="41">
        <f t="shared" si="39"/>
        <v>769036</v>
      </c>
      <c r="L168" s="4"/>
      <c r="M168" s="53">
        <f>562900+206136</f>
        <v>769036</v>
      </c>
      <c r="N168" s="4"/>
      <c r="O168" s="12"/>
      <c r="P168" s="12"/>
      <c r="Q168" s="41">
        <f t="shared" si="37"/>
        <v>769036</v>
      </c>
      <c r="T168" s="22"/>
    </row>
    <row r="169" spans="1:20" s="8" customFormat="1" ht="43.15" customHeight="1">
      <c r="A169" s="66" t="s">
        <v>507</v>
      </c>
      <c r="B169" s="66" t="s">
        <v>508</v>
      </c>
      <c r="C169" s="66" t="s">
        <v>509</v>
      </c>
      <c r="D169" s="119" t="s">
        <v>510</v>
      </c>
      <c r="E169" s="7"/>
      <c r="F169" s="4">
        <f t="shared" si="44"/>
        <v>0</v>
      </c>
      <c r="G169" s="4"/>
      <c r="H169" s="12"/>
      <c r="I169" s="12"/>
      <c r="J169" s="12"/>
      <c r="K169" s="41">
        <f t="shared" si="39"/>
        <v>370000</v>
      </c>
      <c r="L169" s="4"/>
      <c r="M169" s="53"/>
      <c r="N169" s="4"/>
      <c r="O169" s="12"/>
      <c r="P169" s="12">
        <v>370000</v>
      </c>
      <c r="Q169" s="41">
        <f t="shared" si="37"/>
        <v>370000</v>
      </c>
      <c r="T169" s="22"/>
    </row>
    <row r="170" spans="1:20" s="8" customFormat="1" ht="52.9" customHeight="1">
      <c r="A170" s="74" t="s">
        <v>345</v>
      </c>
      <c r="B170" s="101">
        <v>3100000</v>
      </c>
      <c r="C170" s="74"/>
      <c r="D170" s="102" t="s">
        <v>495</v>
      </c>
      <c r="E170" s="83"/>
      <c r="F170" s="77">
        <f>F171</f>
        <v>3208400</v>
      </c>
      <c r="G170" s="77">
        <f t="shared" ref="G170:P170" si="45">G171</f>
        <v>3208400</v>
      </c>
      <c r="H170" s="78">
        <f t="shared" si="45"/>
        <v>2875700</v>
      </c>
      <c r="I170" s="78">
        <f t="shared" si="45"/>
        <v>81250</v>
      </c>
      <c r="J170" s="78">
        <f t="shared" si="45"/>
        <v>0</v>
      </c>
      <c r="K170" s="78">
        <f t="shared" si="45"/>
        <v>36000</v>
      </c>
      <c r="L170" s="78">
        <f t="shared" si="45"/>
        <v>36000</v>
      </c>
      <c r="M170" s="78">
        <f t="shared" si="45"/>
        <v>0</v>
      </c>
      <c r="N170" s="78">
        <f t="shared" si="45"/>
        <v>0</v>
      </c>
      <c r="O170" s="78">
        <f t="shared" si="45"/>
        <v>0</v>
      </c>
      <c r="P170" s="78">
        <f t="shared" si="45"/>
        <v>36000</v>
      </c>
      <c r="Q170" s="78">
        <f>F170+K170</f>
        <v>3244400</v>
      </c>
      <c r="T170" s="22"/>
    </row>
    <row r="171" spans="1:20" s="8" customFormat="1" ht="39" customHeight="1">
      <c r="A171" s="79" t="s">
        <v>346</v>
      </c>
      <c r="B171" s="103">
        <v>3110000</v>
      </c>
      <c r="C171" s="79"/>
      <c r="D171" s="104" t="str">
        <f>D170</f>
        <v>Управління комунального майна  та земельних відносин</v>
      </c>
      <c r="E171" s="85"/>
      <c r="F171" s="87">
        <f>SUM(F172:F177)</f>
        <v>3208400</v>
      </c>
      <c r="G171" s="87">
        <f t="shared" ref="G171:P171" si="46">SUM(G172:G177)</f>
        <v>3208400</v>
      </c>
      <c r="H171" s="87">
        <f t="shared" si="46"/>
        <v>2875700</v>
      </c>
      <c r="I171" s="87">
        <f t="shared" si="46"/>
        <v>81250</v>
      </c>
      <c r="J171" s="87">
        <f t="shared" si="46"/>
        <v>0</v>
      </c>
      <c r="K171" s="87">
        <f t="shared" si="46"/>
        <v>36000</v>
      </c>
      <c r="L171" s="87">
        <f t="shared" si="46"/>
        <v>36000</v>
      </c>
      <c r="M171" s="87">
        <f t="shared" si="46"/>
        <v>0</v>
      </c>
      <c r="N171" s="87">
        <f t="shared" si="46"/>
        <v>0</v>
      </c>
      <c r="O171" s="87">
        <f t="shared" si="46"/>
        <v>0</v>
      </c>
      <c r="P171" s="87">
        <f t="shared" si="46"/>
        <v>36000</v>
      </c>
      <c r="Q171" s="82">
        <f t="shared" ref="Q171:Q177" si="47">F171+K171</f>
        <v>3244400</v>
      </c>
      <c r="T171" s="22"/>
    </row>
    <row r="172" spans="1:20" s="8" customFormat="1" ht="73.900000000000006" customHeight="1">
      <c r="A172" s="66" t="s">
        <v>347</v>
      </c>
      <c r="B172" s="66" t="s">
        <v>358</v>
      </c>
      <c r="C172" s="66" t="s">
        <v>61</v>
      </c>
      <c r="D172" s="117" t="s">
        <v>305</v>
      </c>
      <c r="E172" s="7"/>
      <c r="F172" s="4">
        <f>G172</f>
        <v>3042400</v>
      </c>
      <c r="G172" s="4">
        <f>2905400+137000</f>
        <v>3042400</v>
      </c>
      <c r="H172" s="12">
        <f>2738700+137000</f>
        <v>2875700</v>
      </c>
      <c r="I172" s="12">
        <f>77350+3900</f>
        <v>81250</v>
      </c>
      <c r="J172" s="12"/>
      <c r="K172" s="4">
        <f t="shared" ref="K172:K177" si="48">M172+P172</f>
        <v>0</v>
      </c>
      <c r="L172" s="4"/>
      <c r="M172" s="53"/>
      <c r="N172" s="4"/>
      <c r="O172" s="12"/>
      <c r="P172" s="12">
        <f>L172</f>
        <v>0</v>
      </c>
      <c r="Q172" s="4">
        <f t="shared" si="47"/>
        <v>3042400</v>
      </c>
      <c r="T172" s="22"/>
    </row>
    <row r="173" spans="1:20" s="8" customFormat="1" ht="36" customHeight="1">
      <c r="A173" s="66" t="s">
        <v>348</v>
      </c>
      <c r="B173" s="66" t="s">
        <v>280</v>
      </c>
      <c r="C173" s="66" t="s">
        <v>72</v>
      </c>
      <c r="D173" s="117" t="s">
        <v>139</v>
      </c>
      <c r="E173" s="7"/>
      <c r="F173" s="41">
        <f>G173</f>
        <v>36000</v>
      </c>
      <c r="G173" s="41">
        <f>35000+1000</f>
        <v>36000</v>
      </c>
      <c r="H173" s="12"/>
      <c r="I173" s="12"/>
      <c r="J173" s="12"/>
      <c r="K173" s="4">
        <f t="shared" si="48"/>
        <v>0</v>
      </c>
      <c r="L173" s="4"/>
      <c r="M173" s="53"/>
      <c r="N173" s="4"/>
      <c r="O173" s="12"/>
      <c r="P173" s="12"/>
      <c r="Q173" s="4">
        <f t="shared" si="47"/>
        <v>36000</v>
      </c>
      <c r="T173" s="22"/>
    </row>
    <row r="174" spans="1:20" s="8" customFormat="1" ht="20.25" customHeight="1">
      <c r="A174" s="66" t="s">
        <v>349</v>
      </c>
      <c r="B174" s="66" t="s">
        <v>377</v>
      </c>
      <c r="C174" s="66" t="s">
        <v>70</v>
      </c>
      <c r="D174" s="129" t="s">
        <v>116</v>
      </c>
      <c r="E174" s="7"/>
      <c r="F174" s="41">
        <f>G174</f>
        <v>65000</v>
      </c>
      <c r="G174" s="41">
        <v>65000</v>
      </c>
      <c r="H174" s="12"/>
      <c r="I174" s="12"/>
      <c r="J174" s="12"/>
      <c r="K174" s="4">
        <f t="shared" si="48"/>
        <v>0</v>
      </c>
      <c r="L174" s="4"/>
      <c r="M174" s="53"/>
      <c r="N174" s="4"/>
      <c r="O174" s="12"/>
      <c r="P174" s="12"/>
      <c r="Q174" s="4">
        <f t="shared" si="47"/>
        <v>65000</v>
      </c>
      <c r="T174" s="22"/>
    </row>
    <row r="175" spans="1:20" s="8" customFormat="1" ht="37.9" customHeight="1">
      <c r="A175" s="66" t="s">
        <v>350</v>
      </c>
      <c r="B175" s="66" t="s">
        <v>455</v>
      </c>
      <c r="C175" s="66" t="s">
        <v>210</v>
      </c>
      <c r="D175" s="118" t="s">
        <v>265</v>
      </c>
      <c r="E175" s="7"/>
      <c r="F175" s="4">
        <f>G175</f>
        <v>0</v>
      </c>
      <c r="G175" s="4"/>
      <c r="H175" s="12"/>
      <c r="I175" s="12"/>
      <c r="J175" s="12"/>
      <c r="K175" s="4">
        <f t="shared" si="48"/>
        <v>11000</v>
      </c>
      <c r="L175" s="4">
        <v>11000</v>
      </c>
      <c r="M175" s="53"/>
      <c r="N175" s="4"/>
      <c r="O175" s="12"/>
      <c r="P175" s="12">
        <f>L175</f>
        <v>11000</v>
      </c>
      <c r="Q175" s="4">
        <f t="shared" si="47"/>
        <v>11000</v>
      </c>
      <c r="T175" s="22"/>
    </row>
    <row r="176" spans="1:20" s="8" customFormat="1" ht="39" customHeight="1">
      <c r="A176" s="66" t="s">
        <v>481</v>
      </c>
      <c r="B176" s="66" t="s">
        <v>465</v>
      </c>
      <c r="C176" s="66" t="s">
        <v>466</v>
      </c>
      <c r="D176" s="119" t="s">
        <v>467</v>
      </c>
      <c r="E176" s="7"/>
      <c r="F176" s="4">
        <f>G176+J176</f>
        <v>65000</v>
      </c>
      <c r="G176" s="4">
        <f>35000+30000</f>
        <v>65000</v>
      </c>
      <c r="H176" s="12"/>
      <c r="I176" s="12"/>
      <c r="J176" s="12"/>
      <c r="K176" s="4">
        <f t="shared" si="48"/>
        <v>25000</v>
      </c>
      <c r="L176" s="4">
        <v>25000</v>
      </c>
      <c r="M176" s="4"/>
      <c r="N176" s="4"/>
      <c r="O176" s="12"/>
      <c r="P176" s="12">
        <v>25000</v>
      </c>
      <c r="Q176" s="4">
        <f>F176+K176</f>
        <v>90000</v>
      </c>
      <c r="T176" s="22"/>
    </row>
    <row r="177" spans="1:20" s="8" customFormat="1" ht="81.75" hidden="1" customHeight="1">
      <c r="A177" s="66" t="s">
        <v>351</v>
      </c>
      <c r="B177" s="66" t="s">
        <v>456</v>
      </c>
      <c r="C177" s="66" t="s">
        <v>210</v>
      </c>
      <c r="D177" s="38" t="s">
        <v>256</v>
      </c>
      <c r="E177" s="7"/>
      <c r="F177" s="4">
        <f>G177</f>
        <v>0</v>
      </c>
      <c r="G177" s="4"/>
      <c r="H177" s="12"/>
      <c r="I177" s="12"/>
      <c r="J177" s="12"/>
      <c r="K177" s="4">
        <f t="shared" si="48"/>
        <v>0</v>
      </c>
      <c r="L177" s="4"/>
      <c r="M177" s="53"/>
      <c r="N177" s="4"/>
      <c r="O177" s="12"/>
      <c r="P177" s="12">
        <f>L177</f>
        <v>0</v>
      </c>
      <c r="Q177" s="4">
        <f t="shared" si="47"/>
        <v>0</v>
      </c>
      <c r="T177" s="22"/>
    </row>
    <row r="178" spans="1:20" s="26" customFormat="1" ht="42.6" customHeight="1">
      <c r="A178" s="74" t="s">
        <v>202</v>
      </c>
      <c r="B178" s="105">
        <v>3700000</v>
      </c>
      <c r="C178" s="83"/>
      <c r="D178" s="84" t="s">
        <v>5</v>
      </c>
      <c r="E178" s="83" t="s">
        <v>5</v>
      </c>
      <c r="F178" s="106">
        <f>F179</f>
        <v>12511261.9</v>
      </c>
      <c r="G178" s="106">
        <f t="shared" ref="G178:P178" si="49">G179</f>
        <v>5751364</v>
      </c>
      <c r="H178" s="78">
        <f t="shared" si="49"/>
        <v>4992000</v>
      </c>
      <c r="I178" s="78">
        <f t="shared" si="49"/>
        <v>114000</v>
      </c>
      <c r="J178" s="78">
        <f t="shared" si="49"/>
        <v>2000000</v>
      </c>
      <c r="K178" s="77">
        <f t="shared" si="49"/>
        <v>60000</v>
      </c>
      <c r="L178" s="78">
        <f t="shared" si="49"/>
        <v>60000</v>
      </c>
      <c r="M178" s="78">
        <f t="shared" si="49"/>
        <v>0</v>
      </c>
      <c r="N178" s="78">
        <f t="shared" si="49"/>
        <v>0</v>
      </c>
      <c r="O178" s="78">
        <f t="shared" si="49"/>
        <v>0</v>
      </c>
      <c r="P178" s="78">
        <f t="shared" si="49"/>
        <v>60000</v>
      </c>
      <c r="Q178" s="77">
        <f t="shared" si="37"/>
        <v>12571261.9</v>
      </c>
      <c r="R178" s="14"/>
      <c r="T178" s="24"/>
    </row>
    <row r="179" spans="1:20" s="26" customFormat="1" ht="40.9" customHeight="1">
      <c r="A179" s="79" t="s">
        <v>203</v>
      </c>
      <c r="B179" s="107">
        <v>3710000</v>
      </c>
      <c r="C179" s="85"/>
      <c r="D179" s="86" t="str">
        <f>D178</f>
        <v>Фінансове управління міської ради</v>
      </c>
      <c r="E179" s="85"/>
      <c r="F179" s="108">
        <f>SUM(F180:F188)</f>
        <v>12511261.9</v>
      </c>
      <c r="G179" s="108">
        <f t="shared" ref="G179:P179" si="50">SUM(G180:G188)</f>
        <v>5751364</v>
      </c>
      <c r="H179" s="108">
        <f t="shared" si="50"/>
        <v>4992000</v>
      </c>
      <c r="I179" s="108">
        <f t="shared" si="50"/>
        <v>114000</v>
      </c>
      <c r="J179" s="108">
        <f t="shared" si="50"/>
        <v>2000000</v>
      </c>
      <c r="K179" s="108">
        <f t="shared" si="50"/>
        <v>60000</v>
      </c>
      <c r="L179" s="108">
        <f t="shared" si="50"/>
        <v>60000</v>
      </c>
      <c r="M179" s="108">
        <f t="shared" si="50"/>
        <v>0</v>
      </c>
      <c r="N179" s="108">
        <f t="shared" si="50"/>
        <v>0</v>
      </c>
      <c r="O179" s="108">
        <f t="shared" si="50"/>
        <v>0</v>
      </c>
      <c r="P179" s="108">
        <f t="shared" si="50"/>
        <v>60000</v>
      </c>
      <c r="Q179" s="87">
        <f t="shared" si="37"/>
        <v>12571261.9</v>
      </c>
      <c r="R179" s="14"/>
      <c r="T179" s="24"/>
    </row>
    <row r="180" spans="1:20" s="8" customFormat="1" ht="74.45" customHeight="1">
      <c r="A180" s="66" t="s">
        <v>204</v>
      </c>
      <c r="B180" s="66" t="s">
        <v>358</v>
      </c>
      <c r="C180" s="66" t="s">
        <v>61</v>
      </c>
      <c r="D180" s="117" t="s">
        <v>305</v>
      </c>
      <c r="E180" s="7" t="s">
        <v>2</v>
      </c>
      <c r="F180" s="4">
        <f>G180+J180</f>
        <v>5310512</v>
      </c>
      <c r="G180" s="4">
        <f>5063500+12+247000</f>
        <v>5310512</v>
      </c>
      <c r="H180" s="12">
        <f>4745000+247000</f>
        <v>4992000</v>
      </c>
      <c r="I180" s="12">
        <v>114000</v>
      </c>
      <c r="J180" s="12"/>
      <c r="K180" s="4">
        <f t="shared" ref="K180:K188" si="51">M180+P180</f>
        <v>10000</v>
      </c>
      <c r="L180" s="4">
        <v>10000</v>
      </c>
      <c r="M180" s="12"/>
      <c r="N180" s="4"/>
      <c r="O180" s="12"/>
      <c r="P180" s="12">
        <v>10000</v>
      </c>
      <c r="Q180" s="4">
        <f t="shared" si="37"/>
        <v>5320512</v>
      </c>
      <c r="T180" s="22"/>
    </row>
    <row r="181" spans="1:20" s="8" customFormat="1" ht="34.9" customHeight="1">
      <c r="A181" s="66" t="s">
        <v>253</v>
      </c>
      <c r="B181" s="66" t="s">
        <v>280</v>
      </c>
      <c r="C181" s="66" t="s">
        <v>72</v>
      </c>
      <c r="D181" s="117" t="s">
        <v>139</v>
      </c>
      <c r="E181" s="7"/>
      <c r="F181" s="41">
        <f>G181+J181</f>
        <v>3250</v>
      </c>
      <c r="G181" s="41">
        <f>2250+1000</f>
        <v>3250</v>
      </c>
      <c r="H181" s="12"/>
      <c r="I181" s="12"/>
      <c r="J181" s="12"/>
      <c r="K181" s="4">
        <f t="shared" si="51"/>
        <v>0</v>
      </c>
      <c r="L181" s="4"/>
      <c r="M181" s="12"/>
      <c r="N181" s="4"/>
      <c r="O181" s="12"/>
      <c r="P181" s="12"/>
      <c r="Q181" s="4">
        <f t="shared" si="37"/>
        <v>3250</v>
      </c>
      <c r="T181" s="22"/>
    </row>
    <row r="182" spans="1:20" s="8" customFormat="1" ht="44.45" customHeight="1">
      <c r="A182" s="66" t="s">
        <v>482</v>
      </c>
      <c r="B182" s="66" t="s">
        <v>465</v>
      </c>
      <c r="C182" s="66" t="s">
        <v>466</v>
      </c>
      <c r="D182" s="119" t="s">
        <v>467</v>
      </c>
      <c r="E182" s="13"/>
      <c r="F182" s="4">
        <f>G182+J182</f>
        <v>60000</v>
      </c>
      <c r="G182" s="48">
        <v>60000</v>
      </c>
      <c r="H182" s="49"/>
      <c r="I182" s="49"/>
      <c r="J182" s="49"/>
      <c r="K182" s="4">
        <f t="shared" si="51"/>
        <v>50000</v>
      </c>
      <c r="L182" s="48">
        <v>50000</v>
      </c>
      <c r="M182" s="48"/>
      <c r="N182" s="48"/>
      <c r="O182" s="49"/>
      <c r="P182" s="49">
        <v>50000</v>
      </c>
      <c r="Q182" s="4">
        <f>F182+K182</f>
        <v>110000</v>
      </c>
      <c r="T182" s="22"/>
    </row>
    <row r="183" spans="1:20" s="8" customFormat="1" ht="32.25" hidden="1" customHeight="1">
      <c r="A183" s="66" t="s">
        <v>336</v>
      </c>
      <c r="B183" s="66" t="s">
        <v>457</v>
      </c>
      <c r="C183" s="66" t="s">
        <v>280</v>
      </c>
      <c r="D183" s="117" t="s">
        <v>337</v>
      </c>
      <c r="E183" s="7"/>
      <c r="F183" s="41">
        <f>G183+J183</f>
        <v>0</v>
      </c>
      <c r="G183" s="41"/>
      <c r="H183" s="12"/>
      <c r="I183" s="12"/>
      <c r="J183" s="56"/>
      <c r="K183" s="4"/>
      <c r="L183" s="4"/>
      <c r="M183" s="12"/>
      <c r="N183" s="4"/>
      <c r="O183" s="12"/>
      <c r="P183" s="12"/>
      <c r="Q183" s="4">
        <f t="shared" si="37"/>
        <v>0</v>
      </c>
      <c r="T183" s="22"/>
    </row>
    <row r="184" spans="1:20" s="8" customFormat="1" ht="39" customHeight="1">
      <c r="A184" s="66" t="s">
        <v>315</v>
      </c>
      <c r="B184" s="66" t="s">
        <v>458</v>
      </c>
      <c r="C184" s="66" t="s">
        <v>316</v>
      </c>
      <c r="D184" s="117" t="s">
        <v>317</v>
      </c>
      <c r="E184" s="7"/>
      <c r="F184" s="4">
        <f>G184+J184</f>
        <v>277602</v>
      </c>
      <c r="G184" s="4">
        <v>277602</v>
      </c>
      <c r="H184" s="12"/>
      <c r="I184" s="12"/>
      <c r="J184" s="12"/>
      <c r="K184" s="4">
        <f t="shared" si="51"/>
        <v>0</v>
      </c>
      <c r="L184" s="4"/>
      <c r="M184" s="12"/>
      <c r="N184" s="4"/>
      <c r="O184" s="12"/>
      <c r="P184" s="12"/>
      <c r="Q184" s="4">
        <f t="shared" si="37"/>
        <v>277602</v>
      </c>
      <c r="T184" s="22"/>
    </row>
    <row r="185" spans="1:20" s="8" customFormat="1" ht="39" customHeight="1">
      <c r="A185" s="66" t="s">
        <v>205</v>
      </c>
      <c r="B185" s="66" t="s">
        <v>459</v>
      </c>
      <c r="C185" s="66" t="s">
        <v>72</v>
      </c>
      <c r="D185" s="117" t="s">
        <v>92</v>
      </c>
      <c r="E185" s="7"/>
      <c r="F185" s="41">
        <f>2828295+3666706+4383689+100000-3000000-211500-2828295+986000+700000-400000-986000+2255988.9-60000+115200-1409817-72386-758840-331000-218043-100</f>
        <v>4759897.9000000004</v>
      </c>
      <c r="G185" s="4"/>
      <c r="H185" s="12"/>
      <c r="I185" s="12"/>
      <c r="J185" s="12"/>
      <c r="K185" s="4">
        <f t="shared" si="51"/>
        <v>0</v>
      </c>
      <c r="L185" s="4"/>
      <c r="M185" s="12"/>
      <c r="N185" s="4"/>
      <c r="O185" s="12"/>
      <c r="P185" s="12"/>
      <c r="Q185" s="41">
        <f>F185+K185</f>
        <v>4759897.9000000004</v>
      </c>
      <c r="T185" s="22"/>
    </row>
    <row r="186" spans="1:20" s="8" customFormat="1" ht="22.5" hidden="1" customHeight="1">
      <c r="A186" s="66" t="s">
        <v>286</v>
      </c>
      <c r="B186" s="66" t="s">
        <v>460</v>
      </c>
      <c r="C186" s="66" t="s">
        <v>280</v>
      </c>
      <c r="D186" s="36" t="s">
        <v>287</v>
      </c>
      <c r="E186" s="7"/>
      <c r="F186" s="4">
        <f>G186+J186</f>
        <v>0</v>
      </c>
      <c r="G186" s="4"/>
      <c r="H186" s="12"/>
      <c r="I186" s="12"/>
      <c r="J186" s="56"/>
      <c r="K186" s="4">
        <f t="shared" si="51"/>
        <v>0</v>
      </c>
      <c r="L186" s="4"/>
      <c r="M186" s="12"/>
      <c r="N186" s="4"/>
      <c r="O186" s="12"/>
      <c r="P186" s="12"/>
      <c r="Q186" s="4">
        <f t="shared" si="37"/>
        <v>0</v>
      </c>
      <c r="T186" s="22"/>
    </row>
    <row r="187" spans="1:20" s="8" customFormat="1" ht="36.6" customHeight="1">
      <c r="A187" s="66" t="s">
        <v>286</v>
      </c>
      <c r="B187" s="66" t="s">
        <v>460</v>
      </c>
      <c r="C187" s="66" t="s">
        <v>280</v>
      </c>
      <c r="D187" s="36" t="s">
        <v>287</v>
      </c>
      <c r="E187" s="7"/>
      <c r="F187" s="4">
        <f>G187+J187</f>
        <v>2000000</v>
      </c>
      <c r="G187" s="4"/>
      <c r="H187" s="12"/>
      <c r="I187" s="12"/>
      <c r="J187" s="12">
        <v>2000000</v>
      </c>
      <c r="K187" s="4"/>
      <c r="L187" s="4"/>
      <c r="M187" s="12"/>
      <c r="N187" s="4"/>
      <c r="O187" s="12"/>
      <c r="P187" s="12"/>
      <c r="Q187" s="4"/>
      <c r="T187" s="22"/>
    </row>
    <row r="188" spans="1:20" s="8" customFormat="1" ht="75.599999999999994" customHeight="1">
      <c r="A188" s="66" t="s">
        <v>281</v>
      </c>
      <c r="B188" s="66" t="s">
        <v>461</v>
      </c>
      <c r="C188" s="66" t="s">
        <v>280</v>
      </c>
      <c r="D188" s="117" t="s">
        <v>282</v>
      </c>
      <c r="E188" s="7"/>
      <c r="F188" s="4">
        <f>G188+J188</f>
        <v>100000</v>
      </c>
      <c r="G188" s="4">
        <v>100000</v>
      </c>
      <c r="H188" s="12"/>
      <c r="I188" s="12"/>
      <c r="J188" s="12"/>
      <c r="K188" s="4">
        <f t="shared" si="51"/>
        <v>0</v>
      </c>
      <c r="L188" s="4"/>
      <c r="M188" s="12"/>
      <c r="N188" s="4"/>
      <c r="O188" s="12"/>
      <c r="P188" s="12"/>
      <c r="Q188" s="4">
        <f t="shared" si="37"/>
        <v>100000</v>
      </c>
      <c r="T188" s="22"/>
    </row>
    <row r="189" spans="1:20" s="15" customFormat="1" ht="51" customHeight="1">
      <c r="A189" s="109"/>
      <c r="B189" s="109"/>
      <c r="C189" s="109"/>
      <c r="D189" s="110" t="s">
        <v>206</v>
      </c>
      <c r="E189" s="109" t="s">
        <v>13</v>
      </c>
      <c r="F189" s="77">
        <f>F11+F47+F109+F121+F132+F178+F67+F170</f>
        <v>417599207.55999994</v>
      </c>
      <c r="G189" s="77">
        <f>G11+G47+G109+G121+G132+G178+G67+G170</f>
        <v>398851672.65999997</v>
      </c>
      <c r="H189" s="77">
        <f>H11+H47+H109+H121+H132+H178+H67+H170</f>
        <v>254647587.91</v>
      </c>
      <c r="I189" s="77">
        <f>I11+I47+I109+I121+I132+I178+I67+I170</f>
        <v>35110580</v>
      </c>
      <c r="J189" s="78">
        <f>J11+J47+J109+J121+J132+J178+J67</f>
        <v>13987637</v>
      </c>
      <c r="K189" s="77">
        <f>K11+K47+K109+K121+K132+K178+K67+K170</f>
        <v>91487875.479999989</v>
      </c>
      <c r="L189" s="77">
        <f>L11+L47+L109+L121+L132+L178+L67+L170</f>
        <v>80405398.359999999</v>
      </c>
      <c r="M189" s="77">
        <f>M11+M47+M109+M121+M132+M178+M67+M170</f>
        <v>10612477.119999999</v>
      </c>
      <c r="N189" s="78">
        <f>N11+N47+N109+N121+N132+N178+N67</f>
        <v>578050</v>
      </c>
      <c r="O189" s="78">
        <f>O11+O47+O109+O121+O132+O178+O67</f>
        <v>296300</v>
      </c>
      <c r="P189" s="77">
        <f>P11+P47+P109+P121+P132+P178+P67+P170</f>
        <v>80875398.359999999</v>
      </c>
      <c r="Q189" s="77">
        <f t="shared" si="37"/>
        <v>509087083.03999996</v>
      </c>
      <c r="R189" s="61"/>
      <c r="S189" s="16"/>
      <c r="T189" s="17"/>
    </row>
    <row r="190" spans="1:20" s="14" customFormat="1" ht="34.5" customHeight="1">
      <c r="A190" s="111"/>
      <c r="B190" s="111"/>
      <c r="C190" s="111"/>
      <c r="D190" s="112"/>
      <c r="E190" s="111"/>
      <c r="F190" s="113"/>
      <c r="G190" s="113"/>
      <c r="H190" s="113"/>
      <c r="I190" s="113"/>
      <c r="J190" s="114"/>
      <c r="K190" s="113"/>
      <c r="L190" s="113"/>
      <c r="M190" s="113"/>
      <c r="N190" s="114"/>
      <c r="O190" s="114"/>
      <c r="P190" s="113"/>
      <c r="Q190" s="113"/>
      <c r="R190" s="115"/>
      <c r="S190" s="116"/>
      <c r="T190" s="18"/>
    </row>
    <row r="191" spans="1:20" s="14" customFormat="1" ht="57" customHeight="1">
      <c r="A191" s="147"/>
      <c r="B191" s="147"/>
      <c r="C191" s="147"/>
      <c r="D191" s="147"/>
      <c r="E191" s="147"/>
      <c r="F191" s="147"/>
      <c r="G191" s="147"/>
      <c r="H191" s="147"/>
      <c r="I191" s="147"/>
      <c r="J191" s="147"/>
      <c r="K191" s="147"/>
      <c r="L191" s="147"/>
      <c r="M191" s="147"/>
      <c r="N191" s="147"/>
      <c r="O191" s="147"/>
      <c r="P191" s="147"/>
      <c r="Q191" s="147"/>
      <c r="T191" s="18"/>
    </row>
    <row r="192" spans="1:20" s="31" customFormat="1" ht="21.75" customHeight="1">
      <c r="A192" s="147"/>
      <c r="B192" s="147"/>
      <c r="C192" s="147"/>
      <c r="D192" s="147"/>
      <c r="E192" s="147"/>
      <c r="F192" s="147"/>
      <c r="G192" s="147"/>
      <c r="H192" s="147"/>
      <c r="I192" s="147"/>
      <c r="J192" s="147"/>
      <c r="K192" s="147"/>
      <c r="L192" s="147"/>
      <c r="M192" s="147"/>
      <c r="N192" s="147"/>
      <c r="O192" s="147"/>
      <c r="P192" s="147"/>
      <c r="Q192" s="147"/>
      <c r="T192" s="32"/>
    </row>
  </sheetData>
  <mergeCells count="30">
    <mergeCell ref="A191:Q192"/>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0" fitToHeight="4" orientation="landscape" r:id="rId1"/>
  <headerFooter alignWithMargins="0"/>
  <rowBreaks count="4" manualBreakCount="4">
    <brk id="37" max="16" man="1"/>
    <brk id="70" max="16" man="1"/>
    <brk id="118" max="16" man="1"/>
    <brk id="1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2020-05-19T05:50:24Z</cp:lastPrinted>
  <dcterms:created xsi:type="dcterms:W3CDTF">2002-10-09T16:25:59Z</dcterms:created>
  <dcterms:modified xsi:type="dcterms:W3CDTF">2020-05-19T09:14:06Z</dcterms:modified>
</cp:coreProperties>
</file>