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3'!$E$1:$Q$197</definedName>
    <definedName name="_xlnm.Print_Titles" localSheetId="0">'дод 3'!$6:$10</definedName>
    <definedName name="_xlnm.Print_Area" localSheetId="0">'дод 3'!$A$1:$Q$195</definedName>
  </definedNames>
  <calcPr calcId="125725"/>
</workbook>
</file>

<file path=xl/calcChain.xml><?xml version="1.0" encoding="utf-8"?>
<calcChain xmlns="http://schemas.openxmlformats.org/spreadsheetml/2006/main">
  <c r="G70" i="4"/>
  <c r="H50"/>
  <c r="G50"/>
  <c r="H70"/>
  <c r="G128"/>
  <c r="G127"/>
  <c r="G148"/>
  <c r="H98"/>
  <c r="G98"/>
  <c r="H115"/>
  <c r="G115"/>
  <c r="H53"/>
  <c r="G53"/>
  <c r="H52"/>
  <c r="G52"/>
  <c r="L155"/>
  <c r="P15"/>
  <c r="L15"/>
  <c r="G15"/>
  <c r="P38"/>
  <c r="L38"/>
  <c r="P166"/>
  <c r="L166" l="1"/>
  <c r="J147"/>
  <c r="G170"/>
  <c r="G18"/>
  <c r="P17"/>
  <c r="L17"/>
  <c r="P41"/>
  <c r="L41"/>
  <c r="G54"/>
  <c r="G47"/>
  <c r="G14"/>
  <c r="P98"/>
  <c r="G130"/>
  <c r="H99"/>
  <c r="G99"/>
  <c r="H27"/>
  <c r="G27"/>
  <c r="H117"/>
  <c r="G117"/>
  <c r="H116"/>
  <c r="G116"/>
  <c r="H56"/>
  <c r="G56"/>
  <c r="H54"/>
  <c r="H183"/>
  <c r="G183"/>
  <c r="H175"/>
  <c r="G175"/>
  <c r="H125"/>
  <c r="G125"/>
  <c r="H13"/>
  <c r="G13"/>
  <c r="G17"/>
  <c r="G131"/>
  <c r="F188"/>
  <c r="G22"/>
  <c r="I117"/>
  <c r="I116"/>
  <c r="I115"/>
  <c r="G122"/>
  <c r="G113"/>
  <c r="I113"/>
  <c r="G133"/>
  <c r="I125"/>
  <c r="I54"/>
  <c r="P53"/>
  <c r="L53"/>
  <c r="I53"/>
  <c r="I52"/>
  <c r="P66"/>
  <c r="L66"/>
  <c r="P54"/>
  <c r="L54"/>
  <c r="J148"/>
  <c r="J38" l="1"/>
  <c r="G31"/>
  <c r="L34"/>
  <c r="P162"/>
  <c r="K162" s="1"/>
  <c r="Q162" s="1"/>
  <c r="L162"/>
  <c r="L152"/>
  <c r="P13"/>
  <c r="L13"/>
  <c r="P32"/>
  <c r="L32"/>
  <c r="P152"/>
  <c r="P179"/>
  <c r="L179"/>
  <c r="L12"/>
  <c r="L156"/>
  <c r="L163"/>
  <c r="Q33"/>
  <c r="Q34"/>
  <c r="P34"/>
  <c r="K34" s="1"/>
  <c r="K33"/>
  <c r="L120"/>
  <c r="P62"/>
  <c r="L62"/>
  <c r="G38"/>
  <c r="H119"/>
  <c r="G119"/>
  <c r="H113"/>
  <c r="G120"/>
  <c r="G163"/>
  <c r="G118"/>
  <c r="G25"/>
  <c r="G69"/>
  <c r="F107"/>
  <c r="G101"/>
  <c r="I59"/>
  <c r="F162"/>
  <c r="G102"/>
  <c r="P118"/>
  <c r="G191"/>
  <c r="L125"/>
  <c r="G177"/>
  <c r="K189"/>
  <c r="K190"/>
  <c r="J190"/>
  <c r="G16"/>
  <c r="L178"/>
  <c r="G149"/>
  <c r="P133"/>
  <c r="L133"/>
  <c r="G129"/>
  <c r="F129" s="1"/>
  <c r="L127"/>
  <c r="P52"/>
  <c r="L52"/>
  <c r="P131"/>
  <c r="L131"/>
  <c r="O12"/>
  <c r="N12"/>
  <c r="M12"/>
  <c r="I12"/>
  <c r="H12"/>
  <c r="P16"/>
  <c r="L16"/>
  <c r="G144"/>
  <c r="G59"/>
  <c r="P183"/>
  <c r="L183"/>
  <c r="H129"/>
  <c r="G65"/>
  <c r="I56"/>
  <c r="H60"/>
  <c r="G60"/>
  <c r="L151"/>
  <c r="K143"/>
  <c r="K129"/>
  <c r="I60"/>
  <c r="P60"/>
  <c r="L60"/>
  <c r="G42"/>
  <c r="P30"/>
  <c r="L30"/>
  <c r="G30"/>
  <c r="L148"/>
  <c r="G179"/>
  <c r="F139"/>
  <c r="F140"/>
  <c r="F141"/>
  <c r="F142"/>
  <c r="F143"/>
  <c r="Q143" s="1"/>
  <c r="G168"/>
  <c r="J167"/>
  <c r="Q129" l="1"/>
  <c r="P155"/>
  <c r="K155" s="1"/>
  <c r="P117"/>
  <c r="L117"/>
  <c r="F13"/>
  <c r="G55"/>
  <c r="K38"/>
  <c r="L35"/>
  <c r="G43"/>
  <c r="F43" s="1"/>
  <c r="Q43" s="1"/>
  <c r="F115"/>
  <c r="F31"/>
  <c r="F167"/>
  <c r="Q167" s="1"/>
  <c r="M54"/>
  <c r="F53"/>
  <c r="J12"/>
  <c r="J11" s="1"/>
  <c r="K152"/>
  <c r="Q152" s="1"/>
  <c r="P35"/>
  <c r="K35" s="1"/>
  <c r="F157"/>
  <c r="F158"/>
  <c r="F159"/>
  <c r="F160"/>
  <c r="F161"/>
  <c r="F190"/>
  <c r="Q190" s="1"/>
  <c r="M163"/>
  <c r="M135" s="1"/>
  <c r="M134" s="1"/>
  <c r="M171"/>
  <c r="P43"/>
  <c r="P156"/>
  <c r="K156" s="1"/>
  <c r="P145"/>
  <c r="K145" s="1"/>
  <c r="P49"/>
  <c r="P48" s="1"/>
  <c r="L108"/>
  <c r="K104"/>
  <c r="K105"/>
  <c r="K108"/>
  <c r="Q108" s="1"/>
  <c r="P36"/>
  <c r="L36"/>
  <c r="K142"/>
  <c r="Q142" s="1"/>
  <c r="K140"/>
  <c r="Q140" s="1"/>
  <c r="L161"/>
  <c r="P161" s="1"/>
  <c r="K161" s="1"/>
  <c r="Q161" s="1"/>
  <c r="F172"/>
  <c r="P148"/>
  <c r="K148" s="1"/>
  <c r="K172"/>
  <c r="F148"/>
  <c r="F30"/>
  <c r="G44"/>
  <c r="F44" s="1"/>
  <c r="Q44" s="1"/>
  <c r="J145"/>
  <c r="J135" s="1"/>
  <c r="J134" s="1"/>
  <c r="F47"/>
  <c r="Q47" s="1"/>
  <c r="G20"/>
  <c r="F20" s="1"/>
  <c r="F128"/>
  <c r="H124"/>
  <c r="H123" s="1"/>
  <c r="G136"/>
  <c r="F136" s="1"/>
  <c r="H182"/>
  <c r="H181" s="1"/>
  <c r="F22"/>
  <c r="F16"/>
  <c r="K16"/>
  <c r="F96"/>
  <c r="Q96" s="1"/>
  <c r="F88"/>
  <c r="Q88" s="1"/>
  <c r="D69"/>
  <c r="F35"/>
  <c r="F18"/>
  <c r="K30"/>
  <c r="F127"/>
  <c r="I175"/>
  <c r="I174" s="1"/>
  <c r="I173" s="1"/>
  <c r="H112"/>
  <c r="H111" s="1"/>
  <c r="I112"/>
  <c r="I111" s="1"/>
  <c r="J112"/>
  <c r="J111" s="1"/>
  <c r="M112"/>
  <c r="M111"/>
  <c r="N112"/>
  <c r="N111" s="1"/>
  <c r="O112"/>
  <c r="H11"/>
  <c r="I11"/>
  <c r="M11"/>
  <c r="O11"/>
  <c r="I182"/>
  <c r="I181" s="1"/>
  <c r="J182"/>
  <c r="J181" s="1"/>
  <c r="L182"/>
  <c r="L181" s="1"/>
  <c r="M182"/>
  <c r="N182"/>
  <c r="N181" s="1"/>
  <c r="O182"/>
  <c r="O181" s="1"/>
  <c r="P182"/>
  <c r="P181" s="1"/>
  <c r="K183"/>
  <c r="K185"/>
  <c r="F185"/>
  <c r="G184"/>
  <c r="G182" s="1"/>
  <c r="G181" s="1"/>
  <c r="H174"/>
  <c r="H173" s="1"/>
  <c r="J174"/>
  <c r="J173" s="1"/>
  <c r="L174"/>
  <c r="L173" s="1"/>
  <c r="M174"/>
  <c r="M173" s="1"/>
  <c r="N174"/>
  <c r="N173"/>
  <c r="O174"/>
  <c r="O173" s="1"/>
  <c r="K179"/>
  <c r="F179"/>
  <c r="G176"/>
  <c r="F176" s="1"/>
  <c r="K170"/>
  <c r="F170"/>
  <c r="K166"/>
  <c r="F166"/>
  <c r="K164"/>
  <c r="F164"/>
  <c r="N135"/>
  <c r="N134" s="1"/>
  <c r="O135"/>
  <c r="O134" s="1"/>
  <c r="G137"/>
  <c r="I124"/>
  <c r="I123" s="1"/>
  <c r="J124"/>
  <c r="L124"/>
  <c r="L123" s="1"/>
  <c r="M124"/>
  <c r="M123" s="1"/>
  <c r="N124"/>
  <c r="N123" s="1"/>
  <c r="O124"/>
  <c r="O123" s="1"/>
  <c r="F121"/>
  <c r="K133"/>
  <c r="F133"/>
  <c r="G126"/>
  <c r="F126" s="1"/>
  <c r="K36"/>
  <c r="K37"/>
  <c r="K39"/>
  <c r="K40"/>
  <c r="K41"/>
  <c r="K42"/>
  <c r="K43"/>
  <c r="K44"/>
  <c r="K45"/>
  <c r="K46"/>
  <c r="K14"/>
  <c r="K15"/>
  <c r="K17"/>
  <c r="K18"/>
  <c r="K19"/>
  <c r="K20"/>
  <c r="K21"/>
  <c r="K22"/>
  <c r="K23"/>
  <c r="K24"/>
  <c r="K25"/>
  <c r="K26"/>
  <c r="K27"/>
  <c r="K28"/>
  <c r="K29"/>
  <c r="K31"/>
  <c r="K32"/>
  <c r="K65"/>
  <c r="K109"/>
  <c r="K122"/>
  <c r="F122"/>
  <c r="G114"/>
  <c r="F114" s="1"/>
  <c r="F109"/>
  <c r="Q109" s="1"/>
  <c r="G71"/>
  <c r="F71" s="1"/>
  <c r="G80"/>
  <c r="F65"/>
  <c r="Q65" s="1"/>
  <c r="M49"/>
  <c r="M48" s="1"/>
  <c r="N49"/>
  <c r="N48" s="1"/>
  <c r="O49"/>
  <c r="O48" s="1"/>
  <c r="I49"/>
  <c r="I48" s="1"/>
  <c r="H49"/>
  <c r="H48" s="1"/>
  <c r="G51"/>
  <c r="F25"/>
  <c r="G29"/>
  <c r="F29" s="1"/>
  <c r="Q29" s="1"/>
  <c r="F36"/>
  <c r="F33"/>
  <c r="F37"/>
  <c r="F39"/>
  <c r="F40"/>
  <c r="F41"/>
  <c r="F42"/>
  <c r="K52"/>
  <c r="K53"/>
  <c r="K55"/>
  <c r="K58"/>
  <c r="K59"/>
  <c r="K60"/>
  <c r="K61"/>
  <c r="K62"/>
  <c r="K63"/>
  <c r="K64"/>
  <c r="J49"/>
  <c r="F15"/>
  <c r="F17"/>
  <c r="F19"/>
  <c r="Q19" s="1"/>
  <c r="F21"/>
  <c r="F23"/>
  <c r="Q23" s="1"/>
  <c r="F24"/>
  <c r="F26"/>
  <c r="F27"/>
  <c r="Q27" s="1"/>
  <c r="F28"/>
  <c r="F32"/>
  <c r="F45"/>
  <c r="F46"/>
  <c r="Q46" s="1"/>
  <c r="F120"/>
  <c r="F113"/>
  <c r="F116"/>
  <c r="F117"/>
  <c r="F118"/>
  <c r="F119"/>
  <c r="F137"/>
  <c r="F138"/>
  <c r="Q138" s="1"/>
  <c r="F144"/>
  <c r="F146"/>
  <c r="F147"/>
  <c r="F149"/>
  <c r="F150"/>
  <c r="F151"/>
  <c r="F153"/>
  <c r="F154"/>
  <c r="F155"/>
  <c r="F156"/>
  <c r="F163"/>
  <c r="F165"/>
  <c r="F168"/>
  <c r="F169"/>
  <c r="F171"/>
  <c r="F125"/>
  <c r="F131"/>
  <c r="K131"/>
  <c r="F130"/>
  <c r="F191"/>
  <c r="F189"/>
  <c r="Q189" s="1"/>
  <c r="F187"/>
  <c r="F186"/>
  <c r="Q186" s="1"/>
  <c r="J80"/>
  <c r="F80" s="1"/>
  <c r="F175"/>
  <c r="F177"/>
  <c r="F178"/>
  <c r="F180"/>
  <c r="P125"/>
  <c r="K125" s="1"/>
  <c r="P175"/>
  <c r="P157"/>
  <c r="K157" s="1"/>
  <c r="P163"/>
  <c r="K163" s="1"/>
  <c r="F77"/>
  <c r="K77"/>
  <c r="F79"/>
  <c r="Q79" s="1"/>
  <c r="K79"/>
  <c r="F52"/>
  <c r="P132"/>
  <c r="K132" s="1"/>
  <c r="K144"/>
  <c r="P120"/>
  <c r="K120" s="1"/>
  <c r="P180"/>
  <c r="K180" s="1"/>
  <c r="Q180" s="1"/>
  <c r="P178"/>
  <c r="K178" s="1"/>
  <c r="K176"/>
  <c r="K177"/>
  <c r="F59"/>
  <c r="K71"/>
  <c r="F51"/>
  <c r="K51"/>
  <c r="K67"/>
  <c r="F67"/>
  <c r="P168"/>
  <c r="K168" s="1"/>
  <c r="K188"/>
  <c r="Q188"/>
  <c r="D174"/>
  <c r="P106"/>
  <c r="K106" s="1"/>
  <c r="F106"/>
  <c r="F72"/>
  <c r="K72"/>
  <c r="Q61"/>
  <c r="K130"/>
  <c r="F60"/>
  <c r="Q60" s="1"/>
  <c r="P151"/>
  <c r="K151" s="1"/>
  <c r="P159"/>
  <c r="K159" s="1"/>
  <c r="P127"/>
  <c r="K127" s="1"/>
  <c r="P113"/>
  <c r="K149"/>
  <c r="F78"/>
  <c r="K78"/>
  <c r="F102"/>
  <c r="K102"/>
  <c r="F54"/>
  <c r="F98"/>
  <c r="K98"/>
  <c r="K117"/>
  <c r="F56"/>
  <c r="Q56" s="1"/>
  <c r="F50"/>
  <c r="K50"/>
  <c r="F87"/>
  <c r="K87"/>
  <c r="F73"/>
  <c r="K73"/>
  <c r="P154"/>
  <c r="K154" s="1"/>
  <c r="F63"/>
  <c r="P153"/>
  <c r="K153" s="1"/>
  <c r="Q153" s="1"/>
  <c r="P150"/>
  <c r="K150" s="1"/>
  <c r="P141"/>
  <c r="K141" s="1"/>
  <c r="Q141" s="1"/>
  <c r="K171"/>
  <c r="Q171" s="1"/>
  <c r="P158"/>
  <c r="K158" s="1"/>
  <c r="G90"/>
  <c r="F90" s="1"/>
  <c r="K90"/>
  <c r="P160"/>
  <c r="K160" s="1"/>
  <c r="Q160" s="1"/>
  <c r="P147"/>
  <c r="K147" s="1"/>
  <c r="Q147" s="1"/>
  <c r="I135"/>
  <c r="I134" s="1"/>
  <c r="F64"/>
  <c r="J48"/>
  <c r="H135"/>
  <c r="H134" s="1"/>
  <c r="K187"/>
  <c r="K110"/>
  <c r="F110"/>
  <c r="Q110" s="1"/>
  <c r="K138"/>
  <c r="K103"/>
  <c r="F103"/>
  <c r="M80"/>
  <c r="M69" s="1"/>
  <c r="M68" s="1"/>
  <c r="N80"/>
  <c r="N69" s="1"/>
  <c r="N68" s="1"/>
  <c r="O80"/>
  <c r="O69" s="1"/>
  <c r="O68" s="1"/>
  <c r="P80"/>
  <c r="L80"/>
  <c r="L69" s="1"/>
  <c r="L68" s="1"/>
  <c r="H80"/>
  <c r="H69" s="1"/>
  <c r="H68" s="1"/>
  <c r="I80"/>
  <c r="I69"/>
  <c r="I68" s="1"/>
  <c r="F101"/>
  <c r="Q101" s="1"/>
  <c r="K101"/>
  <c r="K118"/>
  <c r="F99"/>
  <c r="Q99" s="1"/>
  <c r="K99"/>
  <c r="F100"/>
  <c r="F95"/>
  <c r="J123"/>
  <c r="F66"/>
  <c r="F97"/>
  <c r="F132"/>
  <c r="F105"/>
  <c r="Q105" s="1"/>
  <c r="K191"/>
  <c r="K184"/>
  <c r="D182"/>
  <c r="K169"/>
  <c r="K165"/>
  <c r="K146"/>
  <c r="K137"/>
  <c r="Q137" s="1"/>
  <c r="K136"/>
  <c r="D135"/>
  <c r="K128"/>
  <c r="D124"/>
  <c r="K119"/>
  <c r="K115"/>
  <c r="K116"/>
  <c r="K114"/>
  <c r="O111"/>
  <c r="D112"/>
  <c r="K100"/>
  <c r="Q100" s="1"/>
  <c r="K97"/>
  <c r="K76"/>
  <c r="F76"/>
  <c r="K75"/>
  <c r="F75"/>
  <c r="K95"/>
  <c r="Q95" s="1"/>
  <c r="K94"/>
  <c r="F94"/>
  <c r="K93"/>
  <c r="F93"/>
  <c r="K92"/>
  <c r="F92"/>
  <c r="K91"/>
  <c r="F91"/>
  <c r="K86"/>
  <c r="F86"/>
  <c r="K85"/>
  <c r="F85"/>
  <c r="K84"/>
  <c r="F84"/>
  <c r="K83"/>
  <c r="K82"/>
  <c r="F82"/>
  <c r="K81"/>
  <c r="K70"/>
  <c r="K74"/>
  <c r="K89"/>
  <c r="F81"/>
  <c r="F89"/>
  <c r="F74"/>
  <c r="Q74" s="1"/>
  <c r="F62"/>
  <c r="Q62" s="1"/>
  <c r="F55"/>
  <c r="Q55" s="1"/>
  <c r="N11"/>
  <c r="F104"/>
  <c r="Q104" s="1"/>
  <c r="F58"/>
  <c r="Q58" s="1"/>
  <c r="F83"/>
  <c r="Q57"/>
  <c r="F70"/>
  <c r="P139"/>
  <c r="P121"/>
  <c r="K121" s="1"/>
  <c r="Q121" s="1"/>
  <c r="G112"/>
  <c r="G111" s="1"/>
  <c r="Q51"/>
  <c r="M181"/>
  <c r="F183"/>
  <c r="Q183" s="1"/>
  <c r="F184"/>
  <c r="G174"/>
  <c r="G173" s="1"/>
  <c r="Q41"/>
  <c r="G124"/>
  <c r="G123" s="1"/>
  <c r="Q170"/>
  <c r="Q39"/>
  <c r="K66"/>
  <c r="Q149"/>
  <c r="Q32" l="1"/>
  <c r="Q119"/>
  <c r="Q63"/>
  <c r="Q84"/>
  <c r="Q50"/>
  <c r="Q45"/>
  <c r="Q40"/>
  <c r="Q36"/>
  <c r="Q26"/>
  <c r="Q42"/>
  <c r="Q164"/>
  <c r="P12"/>
  <c r="Q115"/>
  <c r="P69"/>
  <c r="P68" s="1"/>
  <c r="Q87"/>
  <c r="Q151"/>
  <c r="Q120"/>
  <c r="Q52"/>
  <c r="Q144"/>
  <c r="Q21"/>
  <c r="Q179"/>
  <c r="Q172"/>
  <c r="Q25"/>
  <c r="G135"/>
  <c r="G134" s="1"/>
  <c r="Q82"/>
  <c r="Q85"/>
  <c r="Q93"/>
  <c r="Q191"/>
  <c r="Q158"/>
  <c r="J69"/>
  <c r="J68" s="1"/>
  <c r="J192" s="1"/>
  <c r="Q156"/>
  <c r="K54"/>
  <c r="K49" s="1"/>
  <c r="K48" s="1"/>
  <c r="Q122"/>
  <c r="Q185"/>
  <c r="Q18"/>
  <c r="L112"/>
  <c r="L111" s="1"/>
  <c r="Q86"/>
  <c r="Q92"/>
  <c r="Q76"/>
  <c r="Q128"/>
  <c r="Q90"/>
  <c r="Q59"/>
  <c r="Q77"/>
  <c r="Q125"/>
  <c r="Q169"/>
  <c r="Q114"/>
  <c r="Q28"/>
  <c r="Q24"/>
  <c r="F145"/>
  <c r="Q145" s="1"/>
  <c r="Q20"/>
  <c r="Q116"/>
  <c r="Q132"/>
  <c r="Q73"/>
  <c r="Q102"/>
  <c r="Q72"/>
  <c r="Q178"/>
  <c r="Q166"/>
  <c r="Q22"/>
  <c r="L11"/>
  <c r="Q31"/>
  <c r="G12"/>
  <c r="G11" s="1"/>
  <c r="Q126"/>
  <c r="F124"/>
  <c r="F123" s="1"/>
  <c r="Q94"/>
  <c r="Q89"/>
  <c r="Q91"/>
  <c r="Q75"/>
  <c r="Q97"/>
  <c r="Q136"/>
  <c r="Q66"/>
  <c r="Q103"/>
  <c r="Q64"/>
  <c r="Q176"/>
  <c r="Q165"/>
  <c r="Q146"/>
  <c r="Q118"/>
  <c r="L135"/>
  <c r="L134" s="1"/>
  <c r="Q35"/>
  <c r="Q70"/>
  <c r="Q83"/>
  <c r="K80"/>
  <c r="Q80" s="1"/>
  <c r="Q150"/>
  <c r="Q154"/>
  <c r="Q78"/>
  <c r="P174"/>
  <c r="P173" s="1"/>
  <c r="F174"/>
  <c r="F173" s="1"/>
  <c r="F38"/>
  <c r="Q38" s="1"/>
  <c r="G49"/>
  <c r="F49" s="1"/>
  <c r="Q71"/>
  <c r="L49"/>
  <c r="L48" s="1"/>
  <c r="Q155"/>
  <c r="Q98"/>
  <c r="Q67"/>
  <c r="Q30"/>
  <c r="Q130"/>
  <c r="K182"/>
  <c r="K181" s="1"/>
  <c r="Q187"/>
  <c r="Q184"/>
  <c r="Q177"/>
  <c r="P124"/>
  <c r="P123" s="1"/>
  <c r="Q133"/>
  <c r="Q131"/>
  <c r="Q37"/>
  <c r="K124"/>
  <c r="K123" s="1"/>
  <c r="Q16"/>
  <c r="Q168"/>
  <c r="P112"/>
  <c r="P111" s="1"/>
  <c r="Q117"/>
  <c r="Q163"/>
  <c r="Q15"/>
  <c r="Q148"/>
  <c r="P135"/>
  <c r="P134" s="1"/>
  <c r="Q17"/>
  <c r="M192"/>
  <c r="Q53"/>
  <c r="Q106"/>
  <c r="Q157"/>
  <c r="N192"/>
  <c r="H192"/>
  <c r="O192"/>
  <c r="Q159"/>
  <c r="I192"/>
  <c r="Q127"/>
  <c r="K113"/>
  <c r="K175"/>
  <c r="F182"/>
  <c r="Q81"/>
  <c r="F14"/>
  <c r="Q14" s="1"/>
  <c r="F112"/>
  <c r="K139"/>
  <c r="Q139" s="1"/>
  <c r="Q123" l="1"/>
  <c r="Q54"/>
  <c r="F135"/>
  <c r="F134" s="1"/>
  <c r="G48"/>
  <c r="L192"/>
  <c r="K69"/>
  <c r="K68" s="1"/>
  <c r="F12"/>
  <c r="Q124"/>
  <c r="K112"/>
  <c r="K111" s="1"/>
  <c r="Q113"/>
  <c r="Q175"/>
  <c r="K174"/>
  <c r="K135"/>
  <c r="F111"/>
  <c r="Q49"/>
  <c r="F48"/>
  <c r="Q48" s="1"/>
  <c r="F69"/>
  <c r="G68"/>
  <c r="Q182"/>
  <c r="F181"/>
  <c r="Q181" s="1"/>
  <c r="G192" l="1"/>
  <c r="K173"/>
  <c r="Q173" s="1"/>
  <c r="Q174"/>
  <c r="K134"/>
  <c r="Q135"/>
  <c r="F68"/>
  <c r="Q68" s="1"/>
  <c r="Q69"/>
  <c r="Q112"/>
  <c r="Q111" s="1"/>
  <c r="Q134" l="1"/>
  <c r="P11"/>
  <c r="P192" s="1"/>
  <c r="K13"/>
  <c r="Q13" l="1"/>
  <c r="K12"/>
  <c r="Q12" s="1"/>
  <c r="K11" l="1"/>
  <c r="K192" s="1"/>
  <c r="F11"/>
  <c r="F192" s="1"/>
  <c r="Q11" l="1"/>
  <c r="Q192"/>
</calcChain>
</file>

<file path=xl/sharedStrings.xml><?xml version="1.0" encoding="utf-8"?>
<sst xmlns="http://schemas.openxmlformats.org/spreadsheetml/2006/main" count="769" uniqueCount="525">
  <si>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</si>
  <si>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</si>
  <si>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</si>
  <si>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</si>
  <si>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</si>
  <si>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</si>
  <si>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</si>
  <si>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</si>
  <si>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</si>
  <si>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</si>
  <si>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</si>
  <si>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</si>
  <si>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</si>
  <si>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</si>
  <si>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</si>
  <si>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</si>
  <si>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</si>
  <si>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</si>
  <si>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</si>
  <si>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</si>
  <si>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</si>
  <si>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</si>
  <si>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</si>
  <si>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</si>
  <si>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</si>
  <si>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</si>
  <si>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</si>
  <si>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</si>
  <si>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</si>
  <si>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</si>
  <si>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</si>
  <si>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</si>
  <si>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</si>
  <si>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</si>
  <si>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</si>
  <si>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</si>
  <si>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</si>
  <si>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</si>
  <si>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</si>
  <si>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</si>
  <si>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</si>
  <si>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</si>
  <si>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</si>
  <si>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</si>
  <si>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</si>
  <si>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</si>
  <si>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</si>
  <si>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</si>
  <si>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</si>
  <si>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</si>
  <si>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</si>
  <si>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</si>
  <si>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</si>
  <si>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</si>
  <si>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</si>
  <si>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</si>
  <si>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</si>
  <si>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</si>
  <si>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</si>
  <si>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</si>
  <si>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</si>
  <si>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</si>
  <si>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</si>
  <si>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</si>
  <si>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</si>
  <si>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</si>
  <si>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</si>
  <si>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</si>
  <si>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</si>
  <si>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</si>
  <si>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</si>
  <si>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</si>
  <si>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</si>
  <si>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</si>
  <si>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</si>
  <si>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</si>
  <si>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</si>
  <si>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</si>
  <si>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</si>
  <si>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</si>
  <si>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</si>
  <si>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</si>
  <si>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</si>
  <si>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</si>
  <si>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</si>
  <si>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</si>
  <si>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</si>
  <si>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</si>
  <si>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</si>
  <si>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</si>
  <si>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</si>
  <si>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</si>
  <si>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</si>
  <si>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</si>
  <si>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</si>
  <si>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</si>
  <si>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</si>
  <si>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</si>
  <si>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</si>
  <si>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</si>
  <si>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</si>
  <si>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</si>
  <si>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</si>
  <si>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</si>
  <si>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</si>
  <si>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</si>
  <si>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</si>
  <si>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</si>
  <si>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</si>
  <si>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</si>
  <si>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</si>
  <si>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</si>
  <si>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</si>
  <si>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</si>
  <si>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</si>
  <si>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</si>
  <si>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</si>
  <si>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</si>
  <si>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</si>
  <si>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</si>
  <si>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</si>
  <si>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</si>
  <si>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</si>
  <si>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</si>
  <si>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</si>
  <si>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</si>
  <si>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</si>
  <si>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</si>
  <si>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</si>
  <si>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</si>
  <si>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</si>
  <si>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</si>
  <si>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</si>
  <si>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</si>
  <si>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</si>
  <si>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</si>
  <si>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</si>
  <si>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</si>
  <si>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</si>
  <si>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</si>
  <si>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</si>
  <si>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</si>
  <si>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</si>
  <si>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</si>
  <si>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</si>
  <si>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</si>
  <si>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</si>
  <si>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</si>
  <si>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</si>
  <si>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</si>
  <si>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</si>
  <si>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</si>
  <si>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</si>
  <si>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</si>
  <si>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</si>
  <si>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</si>
  <si>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</si>
  <si>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</si>
  <si>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</si>
  <si>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</si>
  <si>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</si>
  <si>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</si>
  <si>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</si>
  <si>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</si>
  <si>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</si>
  <si>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</si>
  <si>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</si>
  <si>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</si>
  <si>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</si>
  <si>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</si>
  <si>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</si>
  <si>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</si>
  <si>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</si>
  <si>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</si>
  <si>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</si>
  <si>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</si>
  <si>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</si>
  <si>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</si>
  <si>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</si>
  <si>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</si>
  <si>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</si>
  <si>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</si>
  <si>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</si>
  <si>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</si>
  <si>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</si>
  <si>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</si>
  <si>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</si>
  <si>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</si>
  <si>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</si>
  <si>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</si>
  <si>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</si>
  <si>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</si>
  <si>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</si>
  <si>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</si>
  <si>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</si>
  <si>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</si>
  <si>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</si>
  <si>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</si>
  <si>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</si>
  <si>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</si>
  <si>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</si>
  <si>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</si>
  <si>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</si>
  <si>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</si>
  <si>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</si>
  <si>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</si>
  <si>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</si>
  <si>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</si>
  <si>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</si>
  <si>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</si>
  <si>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</si>
  <si>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</si>
  <si>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</si>
  <si>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</si>
  <si>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</si>
  <si>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</si>
  <si>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</si>
  <si>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</si>
  <si>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</si>
  <si>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</si>
  <si>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</si>
  <si>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</si>
  <si>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</si>
  <si>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</si>
  <si>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</si>
  <si>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</si>
  <si>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</si>
  <si>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</si>
  <si>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</si>
  <si>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</si>
  <si>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</si>
  <si>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</si>
  <si>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</si>
  <si>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</si>
  <si>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</si>
  <si>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</si>
  <si>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</si>
  <si>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</si>
  <si>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</si>
  <si>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</si>
  <si>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</si>
  <si>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</si>
  <si>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</si>
  <si>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</si>
  <si>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</si>
  <si>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</si>
  <si>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</si>
  <si>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</si>
  <si>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</si>
  <si>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</si>
  <si>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</si>
  <si>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</si>
  <si>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</si>
  <si>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</si>
  <si>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</si>
  <si>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</si>
  <si>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</si>
  <si>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</si>
  <si>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</si>
  <si>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</si>
  <si>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</si>
  <si>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</si>
  <si>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</si>
  <si>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</si>
  <si>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</si>
  <si>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</si>
  <si>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</si>
  <si>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</si>
  <si>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</si>
  <si>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</si>
  <si>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</si>
  <si>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</si>
  <si>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</si>
  <si>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</si>
  <si>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</si>
  <si>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</si>
  <si>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</si>
  <si>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</si>
  <si>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</si>
  <si>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</si>
  <si>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</si>
  <si>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</si>
  <si>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</si>
  <si>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</si>
  <si>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</si>
  <si>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</si>
  <si>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</si>
  <si>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</si>
  <si>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</si>
  <si>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</si>
  <si>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</si>
  <si>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</si>
  <si>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</si>
  <si>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</si>
  <si>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</si>
  <si>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</si>
  <si>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</si>
  <si>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</si>
  <si>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</si>
  <si>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</si>
  <si>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</si>
  <si>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</si>
  <si>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</si>
  <si>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</si>
  <si>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</si>
  <si>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</si>
  <si>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</si>
  <si>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</si>
  <si>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</si>
  <si>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</si>
  <si>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</si>
  <si>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</si>
  <si>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</si>
  <si>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</si>
  <si>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</si>
  <si>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</si>
  <si>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</si>
  <si>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</si>
  <si>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</si>
  <si>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</si>
  <si>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</si>
  <si>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</si>
  <si>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</si>
  <si>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</si>
  <si>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</si>
  <si>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</si>
  <si>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</si>
  <si>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</si>
  <si>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</si>
  <si>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</si>
  <si>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</si>
  <si>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</si>
  <si>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</si>
  <si>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</si>
  <si>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</si>
  <si>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</si>
  <si>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</si>
  <si>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</si>
  <si>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</si>
  <si>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</si>
  <si>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</si>
  <si>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</si>
  <si>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</si>
  <si>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</si>
  <si>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</si>
  <si>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</si>
  <si>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</si>
  <si>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</si>
  <si>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</si>
  <si>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</si>
  <si>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</si>
  <si>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</si>
  <si>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</si>
  <si>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</si>
  <si>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</si>
  <si>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</si>
  <si>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</si>
  <si>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</si>
  <si>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</si>
  <si>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</si>
  <si>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</si>
  <si>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</si>
  <si>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</si>
  <si>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</si>
  <si>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</si>
  <si>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</si>
  <si>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</si>
  <si>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</si>
  <si>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</si>
  <si>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</si>
  <si>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</si>
  <si>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</si>
  <si>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</si>
  <si>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</si>
  <si>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</si>
  <si>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</si>
  <si>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</si>
  <si>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</si>
  <si>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</si>
  <si>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</si>
  <si>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</si>
  <si>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</si>
  <si>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</si>
  <si>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</si>
  <si>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</si>
  <si>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</si>
  <si>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</si>
  <si>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</si>
  <si>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</si>
  <si>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</si>
  <si>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</si>
  <si>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</si>
  <si>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</si>
  <si>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</si>
  <si>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</si>
  <si>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</si>
  <si>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</si>
  <si>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</si>
  <si>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</si>
  <si>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</si>
  <si>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</si>
  <si>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</si>
  <si>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</si>
  <si>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</si>
  <si>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</si>
  <si>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</si>
  <si>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</si>
  <si>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</si>
  <si>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</si>
  <si>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</si>
  <si>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</si>
  <si>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</si>
  <si>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</si>
  <si>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</si>
  <si>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</si>
  <si>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</si>
  <si>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</si>
  <si>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</si>
  <si>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</si>
  <si>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</si>
  <si>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</si>
  <si>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</si>
  <si>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</si>
  <si>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</si>
  <si>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</si>
  <si>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</si>
  <si>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</si>
  <si>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</si>
  <si>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</si>
  <si>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</si>
  <si>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</si>
  <si>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</si>
  <si>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</si>
  <si>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</si>
  <si>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</si>
  <si>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</si>
  <si>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</si>
  <si>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</si>
  <si>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</si>
  <si>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</si>
  <si>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</si>
  <si>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</si>
  <si>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</si>
  <si>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</si>
  <si>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</si>
  <si>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</si>
  <si>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</si>
  <si>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</si>
  <si>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</si>
  <si>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</si>
  <si>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</si>
  <si>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</si>
  <si>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</si>
  <si>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</si>
  <si>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</si>
  <si>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</si>
  <si>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</si>
  <si>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</si>
  <si>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</si>
  <si>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</si>
  <si>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</si>
  <si>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</si>
  <si>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</si>
  <si>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</si>
  <si>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</si>
  <si>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</si>
  <si>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</si>
  <si>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</si>
  <si>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</si>
  <si>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</si>
  <si>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</si>
  <si>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</si>
  <si>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</si>
  <si>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</si>
  <si>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</si>
  <si>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</si>
  <si>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</si>
  <si>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</si>
  <si>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</si>
  <si>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</si>
  <si>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</si>
  <si>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</si>
  <si>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</si>
  <si>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</si>
  <si>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</si>
  <si>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</si>
  <si>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</si>
  <si>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</si>
  <si>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</si>
  <si>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</si>
  <si>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</si>
  <si>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</si>
  <si>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</si>
  <si>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</si>
  <si>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</si>
  <si>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</si>
  <si>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</si>
  <si>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</si>
  <si>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</si>
  <si>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</si>
  <si>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</si>
  <si>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</si>
  <si>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</si>
  <si>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</si>
  <si>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</si>
  <si>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</si>
  <si>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</si>
  <si>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</si>
  <si>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</si>
  <si>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</si>
  <si>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</si>
  <si>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</si>
  <si>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</si>
  <si>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</si>
  <si>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</si>
  <si>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</si>
  <si>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</si>
  <si>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</si>
  <si>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</si>
  <si>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</si>
  <si>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</si>
  <si>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</si>
  <si>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</si>
  <si>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</si>
  <si>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 xml:space="preserve">                             від 18 вересня 2020 р №1-78/2020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</si>
</sst>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55" zoomScaleNormal="60" zoomScaleSheetLayoutView="55" workbookViewId="0">
      <pane xSplit="2" ySplit="10" topLeftCell="C111" activePane="bottomRight" state="frozen"/>
      <selection pane="topRight" activeCell="C1" sqref="C1"/>
      <selection pane="bottomLeft" activeCell="A11" sqref="A11"/>
      <selection pane="bottomRight" activeCell="N3" sqref="N3:Q3"/>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3.664062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4" t="s">
        <v>494</v>
      </c>
      <c r="O1" s="144"/>
      <c r="P1" s="144"/>
      <c r="Q1" s="144"/>
      <c r="T1" s="19"/>
    </row>
    <row r="2" spans="1:20" s="8" customFormat="1" ht="24.6" customHeight="1">
      <c r="A2" s="144" t="s">
        <v>321</v>
      </c>
      <c r="B2" s="144"/>
      <c r="C2" s="144"/>
      <c r="D2" s="144"/>
      <c r="E2" s="144"/>
      <c r="F2" s="144"/>
      <c r="G2" s="144"/>
      <c r="H2" s="144"/>
      <c r="I2" s="144"/>
      <c r="J2" s="144"/>
      <c r="K2" s="144"/>
      <c r="L2" s="144"/>
      <c r="M2" s="144"/>
      <c r="N2" s="145" t="s">
        <v>354</v>
      </c>
      <c r="O2" s="145"/>
      <c r="P2" s="145"/>
      <c r="Q2" s="145"/>
      <c r="T2" s="19"/>
    </row>
    <row r="3" spans="1:20" s="8" customFormat="1" ht="27" customHeight="1">
      <c r="A3" s="144" t="s">
        <v>490</v>
      </c>
      <c r="B3" s="144"/>
      <c r="C3" s="144"/>
      <c r="D3" s="144"/>
      <c r="E3" s="144"/>
      <c r="F3" s="144"/>
      <c r="G3" s="144"/>
      <c r="H3" s="144"/>
      <c r="I3" s="144"/>
      <c r="J3" s="144"/>
      <c r="K3" s="144"/>
      <c r="L3" s="144"/>
      <c r="M3" s="144"/>
      <c r="N3" s="146" t="s">
        <v>524</v>
      </c>
      <c r="O3" s="146"/>
      <c r="P3" s="146"/>
      <c r="Q3" s="146"/>
      <c r="T3" s="19"/>
    </row>
    <row r="4" spans="1:20" s="8" customFormat="1" ht="17.399999999999999" customHeight="1">
      <c r="A4" s="147">
        <v>25538000000</v>
      </c>
      <c r="B4" s="147"/>
      <c r="C4" s="147"/>
      <c r="D4" s="2"/>
      <c r="E4" s="23"/>
      <c r="F4" s="42"/>
      <c r="G4" s="42"/>
      <c r="H4" s="42"/>
      <c r="I4" s="42"/>
      <c r="J4" s="42"/>
      <c r="K4" s="42"/>
      <c r="L4" s="42"/>
      <c r="M4" s="42"/>
      <c r="N4" s="143"/>
      <c r="O4" s="143"/>
      <c r="P4" s="143"/>
      <c r="Q4" s="143"/>
      <c r="T4" s="19"/>
    </row>
    <row r="5" spans="1:20" s="8" customFormat="1" ht="17.399999999999999" customHeight="1">
      <c r="A5" s="137" t="s">
        <v>489</v>
      </c>
      <c r="B5" s="137"/>
      <c r="C5" s="137"/>
      <c r="D5" s="2"/>
      <c r="E5" s="14"/>
      <c r="F5" s="42"/>
      <c r="G5" s="42"/>
      <c r="H5" s="42"/>
      <c r="I5" s="42"/>
      <c r="J5" s="42"/>
      <c r="K5" s="42"/>
      <c r="L5" s="42"/>
      <c r="M5" s="42"/>
      <c r="N5" s="42"/>
      <c r="O5" s="42"/>
      <c r="P5" s="43"/>
      <c r="Q5" s="43"/>
      <c r="T5" s="19"/>
    </row>
    <row r="6" spans="1:20" s="54" customFormat="1" ht="21.6" customHeight="1">
      <c r="A6" s="138" t="s">
        <v>355</v>
      </c>
      <c r="B6" s="140" t="s">
        <v>495</v>
      </c>
      <c r="C6" s="138" t="s">
        <v>292</v>
      </c>
      <c r="D6" s="133" t="s">
        <v>481</v>
      </c>
      <c r="E6" s="139" t="s">
        <v>58</v>
      </c>
      <c r="F6" s="132" t="s">
        <v>293</v>
      </c>
      <c r="G6" s="132"/>
      <c r="H6" s="132"/>
      <c r="I6" s="132"/>
      <c r="J6" s="59"/>
      <c r="K6" s="132" t="s">
        <v>294</v>
      </c>
      <c r="L6" s="136"/>
      <c r="M6" s="136"/>
      <c r="N6" s="136"/>
      <c r="O6" s="136"/>
      <c r="P6" s="136"/>
      <c r="Q6" s="132" t="s">
        <v>0</v>
      </c>
      <c r="T6" s="55"/>
    </row>
    <row r="7" spans="1:20" s="54" customFormat="1" ht="25.2" customHeight="1">
      <c r="A7" s="138"/>
      <c r="B7" s="141"/>
      <c r="C7" s="138"/>
      <c r="D7" s="133"/>
      <c r="E7" s="139"/>
      <c r="F7" s="132" t="s">
        <v>205</v>
      </c>
      <c r="G7" s="132" t="s">
        <v>47</v>
      </c>
      <c r="H7" s="134" t="s">
        <v>26</v>
      </c>
      <c r="I7" s="134"/>
      <c r="J7" s="132" t="s">
        <v>48</v>
      </c>
      <c r="K7" s="132" t="s">
        <v>205</v>
      </c>
      <c r="L7" s="132" t="s">
        <v>295</v>
      </c>
      <c r="M7" s="132" t="s">
        <v>49</v>
      </c>
      <c r="N7" s="134" t="s">
        <v>26</v>
      </c>
      <c r="O7" s="134"/>
      <c r="P7" s="132" t="s">
        <v>50</v>
      </c>
      <c r="Q7" s="132"/>
      <c r="T7" s="55"/>
    </row>
    <row r="8" spans="1:20" s="54" customFormat="1" ht="16.5" customHeight="1">
      <c r="A8" s="138"/>
      <c r="B8" s="141"/>
      <c r="C8" s="138"/>
      <c r="D8" s="133"/>
      <c r="E8" s="139"/>
      <c r="F8" s="132"/>
      <c r="G8" s="132"/>
      <c r="H8" s="132" t="s">
        <v>516</v>
      </c>
      <c r="I8" s="132" t="s">
        <v>21</v>
      </c>
      <c r="J8" s="132"/>
      <c r="K8" s="132"/>
      <c r="L8" s="135"/>
      <c r="M8" s="135"/>
      <c r="N8" s="132" t="s">
        <v>517</v>
      </c>
      <c r="O8" s="132" t="s">
        <v>21</v>
      </c>
      <c r="P8" s="135"/>
      <c r="Q8" s="132"/>
      <c r="T8" s="55"/>
    </row>
    <row r="9" spans="1:20" s="54" customFormat="1" ht="76.2" customHeight="1">
      <c r="A9" s="138"/>
      <c r="B9" s="142"/>
      <c r="C9" s="138"/>
      <c r="D9" s="133"/>
      <c r="E9" s="139"/>
      <c r="F9" s="132"/>
      <c r="G9" s="132"/>
      <c r="H9" s="132"/>
      <c r="I9" s="132"/>
      <c r="J9" s="132"/>
      <c r="K9" s="132"/>
      <c r="L9" s="135"/>
      <c r="M9" s="135"/>
      <c r="N9" s="132"/>
      <c r="O9" s="132"/>
      <c r="P9" s="135"/>
      <c r="Q9" s="132"/>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c r="A11" s="69" t="s">
        <v>117</v>
      </c>
      <c r="B11" s="69" t="s">
        <v>117</v>
      </c>
      <c r="C11" s="70"/>
      <c r="D11" s="71" t="s">
        <v>113</v>
      </c>
      <c r="E11" s="70" t="s">
        <v>1</v>
      </c>
      <c r="F11" s="72">
        <f>F12</f>
        <v>73003870.75</v>
      </c>
      <c r="G11" s="72">
        <f>G12</f>
        <v>71672246.75</v>
      </c>
      <c r="H11" s="73">
        <f t="shared" ref="H11:P11" si="0">H12</f>
        <v>17389500</v>
      </c>
      <c r="I11" s="73">
        <f t="shared" si="0"/>
        <v>692900</v>
      </c>
      <c r="J11" s="73">
        <f t="shared" si="0"/>
        <v>1331624</v>
      </c>
      <c r="K11" s="72">
        <f t="shared" si="0"/>
        <v>13716874</v>
      </c>
      <c r="L11" s="72">
        <f t="shared" si="0"/>
        <v>13631474</v>
      </c>
      <c r="M11" s="73">
        <f t="shared" si="0"/>
        <v>85400</v>
      </c>
      <c r="N11" s="73">
        <f t="shared" si="0"/>
        <v>0</v>
      </c>
      <c r="O11" s="73">
        <f t="shared" si="0"/>
        <v>0</v>
      </c>
      <c r="P11" s="73">
        <f t="shared" si="0"/>
        <v>13631474</v>
      </c>
      <c r="Q11" s="72">
        <f t="shared" ref="Q11:Q47" si="1">F11+K11</f>
        <v>86720744.75</v>
      </c>
      <c r="T11" s="21"/>
    </row>
    <row r="12" spans="1:20" s="20" customFormat="1" ht="43.2" customHeight="1">
      <c r="A12" s="74" t="s">
        <v>118</v>
      </c>
      <c r="B12" s="74" t="s">
        <v>118</v>
      </c>
      <c r="C12" s="75"/>
      <c r="D12" s="76" t="s">
        <v>113</v>
      </c>
      <c r="E12" s="75"/>
      <c r="F12" s="82">
        <f t="shared" ref="F12:P12" si="2">SUM(F13:F47)</f>
        <v>73003870.75</v>
      </c>
      <c r="G12" s="82">
        <f t="shared" si="2"/>
        <v>71672246.75</v>
      </c>
      <c r="H12" s="77">
        <f t="shared" si="2"/>
        <v>17389500</v>
      </c>
      <c r="I12" s="77">
        <f t="shared" si="2"/>
        <v>692900</v>
      </c>
      <c r="J12" s="77">
        <f t="shared" si="2"/>
        <v>1331624</v>
      </c>
      <c r="K12" s="77">
        <f t="shared" si="2"/>
        <v>13716874</v>
      </c>
      <c r="L12" s="77">
        <f>SUM(L13:L47)</f>
        <v>13631474</v>
      </c>
      <c r="M12" s="77">
        <f t="shared" si="2"/>
        <v>85400</v>
      </c>
      <c r="N12" s="77">
        <f t="shared" si="2"/>
        <v>0</v>
      </c>
      <c r="O12" s="77">
        <f t="shared" si="2"/>
        <v>0</v>
      </c>
      <c r="P12" s="77">
        <f t="shared" si="2"/>
        <v>13631474</v>
      </c>
      <c r="Q12" s="77">
        <f t="shared" si="1"/>
        <v>86720744.75</v>
      </c>
      <c r="R12" s="56"/>
      <c r="T12" s="21"/>
    </row>
    <row r="13" spans="1:20" s="22" customFormat="1" ht="56.4" customHeight="1">
      <c r="A13" s="61" t="s">
        <v>119</v>
      </c>
      <c r="B13" s="61" t="s">
        <v>356</v>
      </c>
      <c r="C13" s="61" t="s">
        <v>60</v>
      </c>
      <c r="D13" s="109" t="s">
        <v>306</v>
      </c>
      <c r="E13" s="3" t="s">
        <v>2</v>
      </c>
      <c r="F13" s="4">
        <f t="shared" ref="F13:F72" si="3">G13+J13</f>
        <v>20663400</v>
      </c>
      <c r="G13" s="4">
        <f>19691100+550000+8300-95000+309000+200000</f>
        <v>20663400</v>
      </c>
      <c r="H13" s="12">
        <f>15129400+170000</f>
        <v>15299400</v>
      </c>
      <c r="I13" s="12">
        <v>578600</v>
      </c>
      <c r="J13" s="12"/>
      <c r="K13" s="4">
        <f t="shared" ref="K13:K46" si="4">M13+P13</f>
        <v>731400</v>
      </c>
      <c r="L13" s="4">
        <f>131000+165000+95000+255000</f>
        <v>646000</v>
      </c>
      <c r="M13" s="4">
        <v>85400</v>
      </c>
      <c r="N13" s="4"/>
      <c r="O13" s="12"/>
      <c r="P13" s="12">
        <f>131000+165000+95000+255000</f>
        <v>646000</v>
      </c>
      <c r="Q13" s="4">
        <f t="shared" si="1"/>
        <v>21394800</v>
      </c>
      <c r="T13" s="19"/>
    </row>
    <row r="14" spans="1:20" s="22" customFormat="1" ht="44.4" customHeight="1">
      <c r="A14" s="61" t="s">
        <v>137</v>
      </c>
      <c r="B14" s="61" t="s">
        <v>279</v>
      </c>
      <c r="C14" s="61" t="s">
        <v>71</v>
      </c>
      <c r="D14" s="109" t="s">
        <v>138</v>
      </c>
      <c r="E14" s="3"/>
      <c r="F14" s="4">
        <f t="shared" si="3"/>
        <v>260996</v>
      </c>
      <c r="G14" s="4">
        <f>90000+66000+21000+70000+2000-4-1600+1600+12000</f>
        <v>260996</v>
      </c>
      <c r="H14" s="12"/>
      <c r="I14" s="12"/>
      <c r="J14" s="12"/>
      <c r="K14" s="4">
        <f t="shared" si="4"/>
        <v>0</v>
      </c>
      <c r="L14" s="4"/>
      <c r="M14" s="4"/>
      <c r="N14" s="4"/>
      <c r="O14" s="12"/>
      <c r="P14" s="12"/>
      <c r="Q14" s="4">
        <f t="shared" si="1"/>
        <v>260996</v>
      </c>
      <c r="T14" s="19"/>
    </row>
    <row r="15" spans="1:20" s="20" customFormat="1" ht="44.4" customHeight="1">
      <c r="A15" s="61" t="s">
        <v>120</v>
      </c>
      <c r="B15" s="61" t="s">
        <v>357</v>
      </c>
      <c r="C15" s="62" t="s">
        <v>61</v>
      </c>
      <c r="D15" s="10" t="s">
        <v>87</v>
      </c>
      <c r="E15" s="10" t="s">
        <v>59</v>
      </c>
      <c r="F15" s="4">
        <f t="shared" si="3"/>
        <v>23056150</v>
      </c>
      <c r="G15" s="4">
        <f>19392700+195000+41300+2153850-280000+90000+30000+141410+231907-13870-109800+19800+758840+5000+1399957+63800+41300+172200+214000+4043-150000-81100-500000-47200+13000-32387-785000-40380-322220+450000</f>
        <v>23056150</v>
      </c>
      <c r="H15" s="12"/>
      <c r="I15" s="12"/>
      <c r="J15" s="12"/>
      <c r="K15" s="4">
        <f t="shared" si="4"/>
        <v>3285100</v>
      </c>
      <c r="L15" s="4">
        <f>728000+269850+8700+160000+769000+80000+13870+50000+150000+21100+500000+34200+10000+40380+405000+45000</f>
        <v>3285100</v>
      </c>
      <c r="M15" s="4"/>
      <c r="N15" s="4"/>
      <c r="O15" s="12"/>
      <c r="P15" s="44">
        <f>728000+269850+8700+160000+769000+80000+13870+50000+150000+21100+500000+34200+10000+40380+405000+45000</f>
        <v>3285100</v>
      </c>
      <c r="Q15" s="4">
        <f t="shared" si="1"/>
        <v>26341250</v>
      </c>
      <c r="T15" s="21"/>
    </row>
    <row r="16" spans="1:20" s="20" customFormat="1" ht="55.5" customHeight="1">
      <c r="A16" s="61" t="s">
        <v>125</v>
      </c>
      <c r="B16" s="61" t="s">
        <v>358</v>
      </c>
      <c r="C16" s="61" t="s">
        <v>62</v>
      </c>
      <c r="D16" s="110" t="s">
        <v>88</v>
      </c>
      <c r="E16" s="7" t="s">
        <v>54</v>
      </c>
      <c r="F16" s="4">
        <f>G16+J16</f>
        <v>10196260</v>
      </c>
      <c r="G16" s="4">
        <f>7637200+50000+100000+117400-52500+50000+331000+1358160+60000+55000-19000+509000</f>
        <v>10196260</v>
      </c>
      <c r="H16" s="12"/>
      <c r="I16" s="12"/>
      <c r="J16" s="12"/>
      <c r="K16" s="4">
        <f t="shared" si="4"/>
        <v>1477102</v>
      </c>
      <c r="L16" s="4">
        <f>1747202-150000-117400-50000-30000+132300-55000</f>
        <v>1477102</v>
      </c>
      <c r="M16" s="4"/>
      <c r="N16" s="4"/>
      <c r="O16" s="12"/>
      <c r="P16" s="12">
        <f>1747202-150000-117400-50000-30000+132300-55000</f>
        <v>1477102</v>
      </c>
      <c r="Q16" s="4">
        <f t="shared" si="1"/>
        <v>11673362</v>
      </c>
      <c r="T16" s="21"/>
    </row>
    <row r="17" spans="1:20" s="20" customFormat="1" ht="44.4" customHeight="1">
      <c r="A17" s="61" t="s">
        <v>124</v>
      </c>
      <c r="B17" s="61" t="s">
        <v>359</v>
      </c>
      <c r="C17" s="61" t="s">
        <v>63</v>
      </c>
      <c r="D17" s="6" t="s">
        <v>108</v>
      </c>
      <c r="E17" s="7"/>
      <c r="F17" s="38">
        <f>G17+J17</f>
        <v>3613977.48</v>
      </c>
      <c r="G17" s="38">
        <f>1754500+0.48+45652+50000+20774+60000+488000+927289+50000+10962+14800+127000+17000+48000</f>
        <v>3613977.48</v>
      </c>
      <c r="H17" s="12"/>
      <c r="I17" s="12"/>
      <c r="J17" s="12"/>
      <c r="K17" s="4">
        <f t="shared" si="4"/>
        <v>409826</v>
      </c>
      <c r="L17" s="4">
        <f>1220600-900000-20774+48000-48000+110000</f>
        <v>409826</v>
      </c>
      <c r="M17" s="4"/>
      <c r="N17" s="4"/>
      <c r="O17" s="12"/>
      <c r="P17" s="44">
        <f>1220600-900000-20774+48000-48000+110000</f>
        <v>409826</v>
      </c>
      <c r="Q17" s="38">
        <f t="shared" si="1"/>
        <v>4023803.48</v>
      </c>
      <c r="T17" s="21"/>
    </row>
    <row r="18" spans="1:20" s="20" customFormat="1" ht="56.25" customHeight="1">
      <c r="A18" s="61" t="s">
        <v>218</v>
      </c>
      <c r="B18" s="61" t="s">
        <v>360</v>
      </c>
      <c r="C18" s="61" t="s">
        <v>219</v>
      </c>
      <c r="D18" s="6" t="s">
        <v>501</v>
      </c>
      <c r="E18" s="7"/>
      <c r="F18" s="4">
        <f>G18+J18</f>
        <v>3018012</v>
      </c>
      <c r="G18" s="4">
        <f>1900000+820000+298012</f>
        <v>3018012</v>
      </c>
      <c r="H18" s="12"/>
      <c r="I18" s="12"/>
      <c r="J18" s="12"/>
      <c r="K18" s="4">
        <f t="shared" si="4"/>
        <v>0</v>
      </c>
      <c r="L18" s="4"/>
      <c r="M18" s="4"/>
      <c r="N18" s="4"/>
      <c r="O18" s="12"/>
      <c r="P18" s="12"/>
      <c r="Q18" s="4">
        <f t="shared" si="1"/>
        <v>3018012</v>
      </c>
      <c r="T18" s="21"/>
    </row>
    <row r="19" spans="1:20" s="20" customFormat="1" ht="42" customHeight="1">
      <c r="A19" s="61" t="s">
        <v>121</v>
      </c>
      <c r="B19" s="61" t="s">
        <v>361</v>
      </c>
      <c r="C19" s="61"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c r="A20" s="61" t="s">
        <v>122</v>
      </c>
      <c r="B20" s="61" t="s">
        <v>362</v>
      </c>
      <c r="C20" s="61"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c r="A21" s="61" t="s">
        <v>123</v>
      </c>
      <c r="B21" s="61" t="s">
        <v>363</v>
      </c>
      <c r="C21" s="61"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c r="A22" s="61" t="s">
        <v>126</v>
      </c>
      <c r="B22" s="61" t="s">
        <v>364</v>
      </c>
      <c r="C22" s="61" t="s">
        <v>64</v>
      </c>
      <c r="D22" s="6" t="s">
        <v>220</v>
      </c>
      <c r="E22" s="7"/>
      <c r="F22" s="38">
        <f>G22+J22</f>
        <v>2780128.27</v>
      </c>
      <c r="G22" s="38">
        <f>165600+534400+28.27+368500+1661600+50000</f>
        <v>2780128.27</v>
      </c>
      <c r="H22" s="12"/>
      <c r="I22" s="12"/>
      <c r="J22" s="12"/>
      <c r="K22" s="4">
        <f t="shared" si="4"/>
        <v>0</v>
      </c>
      <c r="L22" s="4"/>
      <c r="M22" s="4"/>
      <c r="N22" s="4"/>
      <c r="O22" s="12"/>
      <c r="P22" s="12"/>
      <c r="Q22" s="38">
        <f t="shared" si="1"/>
        <v>2780128.27</v>
      </c>
      <c r="T22" s="21"/>
    </row>
    <row r="23" spans="1:20" s="20" customFormat="1" ht="55.5" hidden="1" customHeight="1">
      <c r="A23" s="61" t="s">
        <v>238</v>
      </c>
      <c r="B23" s="61" t="s">
        <v>365</v>
      </c>
      <c r="C23" s="61"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c r="A24" s="61" t="s">
        <v>221</v>
      </c>
      <c r="B24" s="61" t="s">
        <v>366</v>
      </c>
      <c r="C24" s="61" t="s">
        <v>64</v>
      </c>
      <c r="D24" s="110" t="s">
        <v>296</v>
      </c>
      <c r="E24" s="7"/>
      <c r="F24" s="4">
        <f t="shared" si="3"/>
        <v>0</v>
      </c>
      <c r="G24" s="4"/>
      <c r="H24" s="12"/>
      <c r="I24" s="12"/>
      <c r="J24" s="12"/>
      <c r="K24" s="4">
        <f t="shared" si="4"/>
        <v>0</v>
      </c>
      <c r="L24" s="4"/>
      <c r="M24" s="4"/>
      <c r="N24" s="4"/>
      <c r="O24" s="12"/>
      <c r="P24" s="12"/>
      <c r="Q24" s="4">
        <f t="shared" si="1"/>
        <v>0</v>
      </c>
      <c r="T24" s="21"/>
    </row>
    <row r="25" spans="1:20" s="20" customFormat="1" ht="55.95" customHeight="1">
      <c r="A25" s="61" t="s">
        <v>222</v>
      </c>
      <c r="B25" s="61" t="s">
        <v>367</v>
      </c>
      <c r="C25" s="61" t="s">
        <v>64</v>
      </c>
      <c r="D25" s="110" t="s">
        <v>297</v>
      </c>
      <c r="E25" s="7"/>
      <c r="F25" s="4">
        <f t="shared" si="3"/>
        <v>324000</v>
      </c>
      <c r="G25" s="4">
        <f>44000+130000+100000+50000</f>
        <v>324000</v>
      </c>
      <c r="H25" s="12"/>
      <c r="I25" s="12"/>
      <c r="J25" s="12"/>
      <c r="K25" s="4">
        <f t="shared" si="4"/>
        <v>0</v>
      </c>
      <c r="L25" s="4"/>
      <c r="M25" s="4"/>
      <c r="N25" s="4"/>
      <c r="O25" s="12"/>
      <c r="P25" s="12"/>
      <c r="Q25" s="4">
        <f t="shared" si="1"/>
        <v>324000</v>
      </c>
      <c r="T25" s="21"/>
    </row>
    <row r="26" spans="1:20" s="8" customFormat="1" ht="55.5" customHeight="1">
      <c r="A26" s="61" t="s">
        <v>127</v>
      </c>
      <c r="B26" s="61" t="s">
        <v>368</v>
      </c>
      <c r="C26" s="61" t="s">
        <v>66</v>
      </c>
      <c r="D26" s="110"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c r="A27" s="63" t="s">
        <v>128</v>
      </c>
      <c r="B27" s="63" t="s">
        <v>491</v>
      </c>
      <c r="C27" s="63" t="s">
        <v>66</v>
      </c>
      <c r="D27" s="111" t="s">
        <v>307</v>
      </c>
      <c r="E27" s="7" t="s">
        <v>36</v>
      </c>
      <c r="F27" s="4">
        <f t="shared" si="3"/>
        <v>2704500</v>
      </c>
      <c r="G27" s="4">
        <f>2324500+380000</f>
        <v>2704500</v>
      </c>
      <c r="H27" s="12">
        <f>1776600+313500</f>
        <v>2090100</v>
      </c>
      <c r="I27" s="12">
        <v>114300</v>
      </c>
      <c r="J27" s="12"/>
      <c r="K27" s="4">
        <f t="shared" si="4"/>
        <v>0</v>
      </c>
      <c r="L27" s="4"/>
      <c r="M27" s="4"/>
      <c r="N27" s="4"/>
      <c r="O27" s="12"/>
      <c r="P27" s="12"/>
      <c r="Q27" s="4">
        <f t="shared" si="1"/>
        <v>2704500</v>
      </c>
      <c r="T27" s="19"/>
    </row>
    <row r="28" spans="1:20" s="8" customFormat="1" ht="55.5" customHeight="1">
      <c r="A28" s="61" t="s">
        <v>129</v>
      </c>
      <c r="B28" s="61" t="s">
        <v>369</v>
      </c>
      <c r="C28" s="61" t="s">
        <v>66</v>
      </c>
      <c r="D28" s="111"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c r="A29" s="61" t="s">
        <v>130</v>
      </c>
      <c r="B29" s="61" t="s">
        <v>370</v>
      </c>
      <c r="C29" s="61" t="s">
        <v>66</v>
      </c>
      <c r="D29" s="110"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c r="A30" s="61" t="s">
        <v>350</v>
      </c>
      <c r="B30" s="61" t="s">
        <v>371</v>
      </c>
      <c r="C30" s="61" t="s">
        <v>66</v>
      </c>
      <c r="D30" s="110"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c r="A31" s="61" t="s">
        <v>223</v>
      </c>
      <c r="B31" s="61" t="s">
        <v>372</v>
      </c>
      <c r="C31" s="61" t="s">
        <v>65</v>
      </c>
      <c r="D31" s="110" t="s">
        <v>224</v>
      </c>
      <c r="E31" s="7"/>
      <c r="F31" s="4">
        <f>G31+J31</f>
        <v>2018750</v>
      </c>
      <c r="G31" s="4">
        <f>1715000+68000+109200+66000+1000+2000+12900+14900+3750+17500+8500</f>
        <v>2018750</v>
      </c>
      <c r="H31" s="12"/>
      <c r="I31" s="12"/>
      <c r="J31" s="12"/>
      <c r="K31" s="4">
        <f t="shared" si="4"/>
        <v>0</v>
      </c>
      <c r="L31" s="4"/>
      <c r="M31" s="4"/>
      <c r="N31" s="4"/>
      <c r="O31" s="12"/>
      <c r="P31" s="12"/>
      <c r="Q31" s="4">
        <f t="shared" si="1"/>
        <v>2018750</v>
      </c>
      <c r="T31" s="19"/>
    </row>
    <row r="32" spans="1:20" s="8" customFormat="1" ht="38.25" customHeight="1">
      <c r="A32" s="61" t="s">
        <v>317</v>
      </c>
      <c r="B32" s="61" t="s">
        <v>373</v>
      </c>
      <c r="C32" s="61" t="s">
        <v>316</v>
      </c>
      <c r="D32" s="111" t="s">
        <v>318</v>
      </c>
      <c r="E32" s="7" t="s">
        <v>20</v>
      </c>
      <c r="F32" s="4">
        <f t="shared" si="3"/>
        <v>0</v>
      </c>
      <c r="G32" s="4"/>
      <c r="H32" s="12"/>
      <c r="I32" s="12"/>
      <c r="J32" s="12"/>
      <c r="K32" s="4">
        <f t="shared" si="4"/>
        <v>850000</v>
      </c>
      <c r="L32" s="4">
        <f>400000+450000</f>
        <v>850000</v>
      </c>
      <c r="M32" s="4"/>
      <c r="N32" s="4"/>
      <c r="O32" s="12"/>
      <c r="P32" s="12">
        <f>400000+450000</f>
        <v>850000</v>
      </c>
      <c r="Q32" s="4">
        <f t="shared" si="1"/>
        <v>850000</v>
      </c>
      <c r="T32" s="19"/>
    </row>
    <row r="33" spans="1:20" s="8" customFormat="1" ht="80.25" hidden="1" customHeight="1">
      <c r="A33" s="61" t="s">
        <v>337</v>
      </c>
      <c r="B33" s="61" t="s">
        <v>374</v>
      </c>
      <c r="C33" s="61" t="s">
        <v>316</v>
      </c>
      <c r="D33" s="111" t="s">
        <v>338</v>
      </c>
      <c r="E33" s="13"/>
      <c r="F33" s="4">
        <f t="shared" si="3"/>
        <v>0</v>
      </c>
      <c r="G33" s="45"/>
      <c r="H33" s="46"/>
      <c r="I33" s="46"/>
      <c r="J33" s="46"/>
      <c r="K33" s="4">
        <f t="shared" si="4"/>
        <v>0</v>
      </c>
      <c r="L33" s="45"/>
      <c r="M33" s="45"/>
      <c r="N33" s="45"/>
      <c r="O33" s="46"/>
      <c r="P33" s="46"/>
      <c r="Q33" s="4">
        <f t="shared" si="1"/>
        <v>0</v>
      </c>
      <c r="T33" s="19"/>
    </row>
    <row r="34" spans="1:20" s="8" customFormat="1" ht="95.4" customHeight="1">
      <c r="A34" s="61" t="s">
        <v>337</v>
      </c>
      <c r="B34" s="61" t="s">
        <v>374</v>
      </c>
      <c r="C34" s="61" t="s">
        <v>316</v>
      </c>
      <c r="D34" s="111" t="s">
        <v>523</v>
      </c>
      <c r="E34" s="13"/>
      <c r="F34" s="4"/>
      <c r="G34" s="45"/>
      <c r="H34" s="46"/>
      <c r="I34" s="46"/>
      <c r="J34" s="46"/>
      <c r="K34" s="4">
        <f t="shared" si="4"/>
        <v>3399450</v>
      </c>
      <c r="L34" s="45">
        <f>679890+2719560</f>
        <v>3399450</v>
      </c>
      <c r="M34" s="45"/>
      <c r="N34" s="45"/>
      <c r="O34" s="46"/>
      <c r="P34" s="46">
        <f>L34</f>
        <v>3399450</v>
      </c>
      <c r="Q34" s="4">
        <f t="shared" si="1"/>
        <v>3399450</v>
      </c>
      <c r="T34" s="19"/>
    </row>
    <row r="35" spans="1:20" s="8" customFormat="1" ht="43.95" customHeight="1">
      <c r="A35" s="61" t="s">
        <v>486</v>
      </c>
      <c r="B35" s="61" t="s">
        <v>444</v>
      </c>
      <c r="C35" s="61" t="s">
        <v>82</v>
      </c>
      <c r="D35" s="111" t="s">
        <v>487</v>
      </c>
      <c r="E35" s="13"/>
      <c r="F35" s="4">
        <f t="shared" si="3"/>
        <v>0</v>
      </c>
      <c r="G35" s="45"/>
      <c r="H35" s="46"/>
      <c r="I35" s="46"/>
      <c r="J35" s="46"/>
      <c r="K35" s="4">
        <f>M35+P35</f>
        <v>180000</v>
      </c>
      <c r="L35" s="45">
        <f>150000+900000+350000-350000-900000+30000</f>
        <v>180000</v>
      </c>
      <c r="M35" s="45"/>
      <c r="N35" s="45"/>
      <c r="O35" s="46"/>
      <c r="P35" s="46">
        <f>L35</f>
        <v>180000</v>
      </c>
      <c r="Q35" s="4">
        <f>F35+K35</f>
        <v>180000</v>
      </c>
      <c r="T35" s="19"/>
    </row>
    <row r="36" spans="1:20" s="8" customFormat="1" ht="54.75" customHeight="1">
      <c r="A36" s="61" t="s">
        <v>460</v>
      </c>
      <c r="B36" s="61" t="s">
        <v>448</v>
      </c>
      <c r="C36" s="61" t="s">
        <v>82</v>
      </c>
      <c r="D36" s="111" t="s">
        <v>461</v>
      </c>
      <c r="E36" s="13"/>
      <c r="F36" s="4">
        <f>G36+J36</f>
        <v>0</v>
      </c>
      <c r="G36" s="45"/>
      <c r="H36" s="46"/>
      <c r="I36" s="46"/>
      <c r="J36" s="46"/>
      <c r="K36" s="4">
        <f t="shared" si="4"/>
        <v>290000</v>
      </c>
      <c r="L36" s="45">
        <f>100000+190000</f>
        <v>290000</v>
      </c>
      <c r="M36" s="45"/>
      <c r="N36" s="45"/>
      <c r="O36" s="46"/>
      <c r="P36" s="46">
        <f>100000+190000</f>
        <v>290000</v>
      </c>
      <c r="Q36" s="4">
        <f t="shared" si="1"/>
        <v>290000</v>
      </c>
      <c r="T36" s="19"/>
    </row>
    <row r="37" spans="1:20" s="8" customFormat="1" ht="94.95" customHeight="1">
      <c r="A37" s="61" t="s">
        <v>210</v>
      </c>
      <c r="B37" s="61" t="s">
        <v>376</v>
      </c>
      <c r="C37" s="61" t="s">
        <v>209</v>
      </c>
      <c r="D37" s="111" t="s">
        <v>305</v>
      </c>
      <c r="E37" s="13"/>
      <c r="F37" s="4">
        <f>G37+J37</f>
        <v>0</v>
      </c>
      <c r="G37" s="45"/>
      <c r="H37" s="46"/>
      <c r="I37" s="46"/>
      <c r="J37" s="46"/>
      <c r="K37" s="4">
        <f>M37+P37</f>
        <v>2000000</v>
      </c>
      <c r="L37" s="45">
        <v>2000000</v>
      </c>
      <c r="M37" s="45"/>
      <c r="N37" s="45"/>
      <c r="O37" s="46"/>
      <c r="P37" s="46">
        <v>2000000</v>
      </c>
      <c r="Q37" s="4">
        <f>F37+K37</f>
        <v>2000000</v>
      </c>
      <c r="T37" s="19"/>
    </row>
    <row r="38" spans="1:20" s="8" customFormat="1" ht="40.200000000000003" customHeight="1">
      <c r="A38" s="61" t="s">
        <v>462</v>
      </c>
      <c r="B38" s="61" t="s">
        <v>463</v>
      </c>
      <c r="C38" s="61" t="s">
        <v>464</v>
      </c>
      <c r="D38" s="111" t="s">
        <v>465</v>
      </c>
      <c r="E38" s="7"/>
      <c r="F38" s="4">
        <f>G38+J38</f>
        <v>1303809</v>
      </c>
      <c r="G38" s="4">
        <f>1041085-160600-8300+13304+52500+5000-70804+100000</f>
        <v>972185</v>
      </c>
      <c r="H38" s="12"/>
      <c r="I38" s="12"/>
      <c r="J38" s="12">
        <f>160600+70804+19000+18220+63000</f>
        <v>331624</v>
      </c>
      <c r="K38" s="4">
        <f t="shared" si="4"/>
        <v>919516</v>
      </c>
      <c r="L38" s="4">
        <f>672600-13304-165000+40000+60000+322220+66000-63000</f>
        <v>919516</v>
      </c>
      <c r="M38" s="4"/>
      <c r="N38" s="4"/>
      <c r="O38" s="12"/>
      <c r="P38" s="12">
        <f>672600-13304-165000+40000+60000+322220+66000-63000</f>
        <v>919516</v>
      </c>
      <c r="Q38" s="4">
        <f t="shared" si="1"/>
        <v>2223325</v>
      </c>
      <c r="T38" s="19"/>
    </row>
    <row r="39" spans="1:20" s="8" customFormat="1" ht="37.950000000000003" customHeight="1">
      <c r="A39" s="61" t="s">
        <v>134</v>
      </c>
      <c r="B39" s="61" t="s">
        <v>377</v>
      </c>
      <c r="C39" s="61" t="s">
        <v>136</v>
      </c>
      <c r="D39" s="110" t="s">
        <v>135</v>
      </c>
      <c r="E39" s="7"/>
      <c r="F39" s="4">
        <f t="shared" si="3"/>
        <v>510000</v>
      </c>
      <c r="G39" s="45">
        <v>10000</v>
      </c>
      <c r="H39" s="46"/>
      <c r="I39" s="46"/>
      <c r="J39" s="46">
        <v>500000</v>
      </c>
      <c r="K39" s="4">
        <f t="shared" si="4"/>
        <v>0</v>
      </c>
      <c r="L39" s="45"/>
      <c r="M39" s="45"/>
      <c r="N39" s="45"/>
      <c r="O39" s="46"/>
      <c r="P39" s="46"/>
      <c r="Q39" s="4">
        <f t="shared" si="1"/>
        <v>510000</v>
      </c>
      <c r="T39" s="19"/>
    </row>
    <row r="40" spans="1:20" s="8" customFormat="1" ht="37.950000000000003" customHeight="1">
      <c r="A40" s="61" t="s">
        <v>139</v>
      </c>
      <c r="B40" s="61" t="s">
        <v>378</v>
      </c>
      <c r="C40" s="61" t="s">
        <v>85</v>
      </c>
      <c r="D40" s="110" t="s">
        <v>140</v>
      </c>
      <c r="E40" s="7"/>
      <c r="F40" s="4">
        <f t="shared" si="3"/>
        <v>500000</v>
      </c>
      <c r="G40" s="45"/>
      <c r="H40" s="46"/>
      <c r="I40" s="46"/>
      <c r="J40" s="46">
        <v>500000</v>
      </c>
      <c r="K40" s="4">
        <f t="shared" si="4"/>
        <v>0</v>
      </c>
      <c r="L40" s="45"/>
      <c r="M40" s="45"/>
      <c r="N40" s="45"/>
      <c r="O40" s="46"/>
      <c r="P40" s="46"/>
      <c r="Q40" s="4">
        <f t="shared" si="1"/>
        <v>500000</v>
      </c>
      <c r="T40" s="19"/>
    </row>
    <row r="41" spans="1:20" s="8" customFormat="1" ht="37.950000000000003" customHeight="1">
      <c r="A41" s="61" t="s">
        <v>333</v>
      </c>
      <c r="B41" s="61" t="s">
        <v>379</v>
      </c>
      <c r="C41" s="61" t="s">
        <v>209</v>
      </c>
      <c r="D41" s="111" t="s">
        <v>302</v>
      </c>
      <c r="E41" s="13"/>
      <c r="F41" s="4">
        <f t="shared" si="3"/>
        <v>0</v>
      </c>
      <c r="G41" s="45"/>
      <c r="H41" s="46"/>
      <c r="I41" s="46"/>
      <c r="J41" s="46"/>
      <c r="K41" s="4">
        <f t="shared" si="4"/>
        <v>1000</v>
      </c>
      <c r="L41" s="45">
        <f>1000</f>
        <v>1000</v>
      </c>
      <c r="M41" s="45"/>
      <c r="N41" s="45"/>
      <c r="O41" s="46"/>
      <c r="P41" s="46">
        <f>L41</f>
        <v>1000</v>
      </c>
      <c r="Q41" s="4">
        <f t="shared" si="1"/>
        <v>1000</v>
      </c>
      <c r="T41" s="19"/>
    </row>
    <row r="42" spans="1:20" s="8" customFormat="1" ht="37.950000000000003" customHeight="1">
      <c r="A42" s="61" t="s">
        <v>289</v>
      </c>
      <c r="B42" s="61" t="s">
        <v>380</v>
      </c>
      <c r="C42" s="61" t="s">
        <v>209</v>
      </c>
      <c r="D42" s="110" t="s">
        <v>290</v>
      </c>
      <c r="E42" s="7"/>
      <c r="F42" s="4">
        <f t="shared" si="3"/>
        <v>50004</v>
      </c>
      <c r="G42" s="45">
        <f>50000+4</f>
        <v>50004</v>
      </c>
      <c r="H42" s="46"/>
      <c r="I42" s="46"/>
      <c r="J42" s="46"/>
      <c r="K42" s="4">
        <f t="shared" si="4"/>
        <v>0</v>
      </c>
      <c r="L42" s="45"/>
      <c r="M42" s="45"/>
      <c r="N42" s="45"/>
      <c r="O42" s="46"/>
      <c r="P42" s="46"/>
      <c r="Q42" s="4">
        <f t="shared" si="1"/>
        <v>50004</v>
      </c>
      <c r="T42" s="19"/>
    </row>
    <row r="43" spans="1:20" s="8" customFormat="1" ht="37.950000000000003" customHeight="1">
      <c r="A43" s="61" t="s">
        <v>131</v>
      </c>
      <c r="B43" s="61" t="s">
        <v>381</v>
      </c>
      <c r="C43" s="61" t="s">
        <v>70</v>
      </c>
      <c r="D43" s="111" t="s">
        <v>265</v>
      </c>
      <c r="E43" s="7"/>
      <c r="F43" s="45">
        <f t="shared" si="3"/>
        <v>495000</v>
      </c>
      <c r="G43" s="45">
        <f>130000+90000-125000+400000</f>
        <v>495000</v>
      </c>
      <c r="H43" s="46"/>
      <c r="I43" s="46"/>
      <c r="J43" s="46"/>
      <c r="K43" s="4">
        <f t="shared" si="4"/>
        <v>125000</v>
      </c>
      <c r="L43" s="45">
        <v>125000</v>
      </c>
      <c r="M43" s="45"/>
      <c r="N43" s="45"/>
      <c r="O43" s="46"/>
      <c r="P43" s="46">
        <f>L43</f>
        <v>125000</v>
      </c>
      <c r="Q43" s="4">
        <f t="shared" si="1"/>
        <v>620000</v>
      </c>
      <c r="T43" s="19"/>
    </row>
    <row r="44" spans="1:20" s="8" customFormat="1" ht="34.200000000000003" customHeight="1">
      <c r="A44" s="63" t="s">
        <v>466</v>
      </c>
      <c r="B44" s="63" t="s">
        <v>467</v>
      </c>
      <c r="C44" s="63" t="s">
        <v>468</v>
      </c>
      <c r="D44" s="112" t="s">
        <v>469</v>
      </c>
      <c r="E44" s="7" t="s">
        <v>4</v>
      </c>
      <c r="F44" s="45">
        <f>G44+J44</f>
        <v>170000</v>
      </c>
      <c r="G44" s="45">
        <f>260000-90000</f>
        <v>170000</v>
      </c>
      <c r="H44" s="46"/>
      <c r="I44" s="46"/>
      <c r="J44" s="46"/>
      <c r="K44" s="4">
        <f t="shared" si="4"/>
        <v>0</v>
      </c>
      <c r="L44" s="45"/>
      <c r="M44" s="45"/>
      <c r="N44" s="45"/>
      <c r="O44" s="46"/>
      <c r="P44" s="46"/>
      <c r="Q44" s="4">
        <f t="shared" si="1"/>
        <v>170000</v>
      </c>
      <c r="T44" s="19"/>
    </row>
    <row r="45" spans="1:20" s="8" customFormat="1" ht="34.200000000000003" hidden="1" customHeight="1">
      <c r="A45" s="63" t="s">
        <v>132</v>
      </c>
      <c r="B45" s="63" t="s">
        <v>382</v>
      </c>
      <c r="C45" s="63" t="s">
        <v>68</v>
      </c>
      <c r="D45" s="36" t="s">
        <v>114</v>
      </c>
      <c r="E45" s="7" t="s">
        <v>4</v>
      </c>
      <c r="F45" s="45">
        <f t="shared" si="3"/>
        <v>0</v>
      </c>
      <c r="G45" s="45"/>
      <c r="H45" s="46"/>
      <c r="I45" s="46"/>
      <c r="J45" s="46"/>
      <c r="K45" s="4">
        <f t="shared" si="4"/>
        <v>0</v>
      </c>
      <c r="L45" s="45"/>
      <c r="M45" s="45"/>
      <c r="N45" s="45"/>
      <c r="O45" s="46"/>
      <c r="P45" s="46"/>
      <c r="Q45" s="4">
        <f t="shared" si="1"/>
        <v>0</v>
      </c>
      <c r="T45" s="19"/>
    </row>
    <row r="46" spans="1:20" s="8" customFormat="1" ht="32.4" hidden="1" customHeight="1">
      <c r="A46" s="61" t="s">
        <v>133</v>
      </c>
      <c r="B46" s="61" t="s">
        <v>383</v>
      </c>
      <c r="C46" s="61" t="s">
        <v>68</v>
      </c>
      <c r="D46" s="34" t="s">
        <v>116</v>
      </c>
      <c r="E46" s="58"/>
      <c r="F46" s="4">
        <f>G46+J46</f>
        <v>0</v>
      </c>
      <c r="G46" s="4"/>
      <c r="H46" s="12"/>
      <c r="I46" s="12"/>
      <c r="J46" s="12"/>
      <c r="K46" s="4">
        <f t="shared" si="4"/>
        <v>0</v>
      </c>
      <c r="L46" s="4"/>
      <c r="M46" s="4"/>
      <c r="N46" s="4"/>
      <c r="O46" s="12"/>
      <c r="P46" s="12"/>
      <c r="Q46" s="4">
        <f t="shared" si="1"/>
        <v>0</v>
      </c>
      <c r="T46" s="19"/>
    </row>
    <row r="47" spans="1:20" s="8" customFormat="1" ht="32.4" customHeight="1">
      <c r="A47" s="61" t="s">
        <v>132</v>
      </c>
      <c r="B47" s="61" t="s">
        <v>382</v>
      </c>
      <c r="C47" s="61" t="s">
        <v>68</v>
      </c>
      <c r="D47" s="34" t="s">
        <v>114</v>
      </c>
      <c r="E47" s="58"/>
      <c r="F47" s="4">
        <f>G47</f>
        <v>237734</v>
      </c>
      <c r="G47" s="4">
        <f>151176+11094+30000+34000+11464</f>
        <v>237734</v>
      </c>
      <c r="H47" s="12"/>
      <c r="I47" s="12"/>
      <c r="J47" s="12"/>
      <c r="K47" s="4"/>
      <c r="L47" s="4"/>
      <c r="M47" s="4"/>
      <c r="N47" s="4"/>
      <c r="O47" s="12"/>
      <c r="P47" s="12"/>
      <c r="Q47" s="4">
        <f t="shared" si="1"/>
        <v>237734</v>
      </c>
      <c r="T47" s="19"/>
    </row>
    <row r="48" spans="1:20" s="23" customFormat="1" ht="44.4" customHeight="1">
      <c r="A48" s="69" t="s">
        <v>141</v>
      </c>
      <c r="B48" s="69" t="s">
        <v>141</v>
      </c>
      <c r="C48" s="78"/>
      <c r="D48" s="79" t="s">
        <v>28</v>
      </c>
      <c r="E48" s="78" t="s">
        <v>28</v>
      </c>
      <c r="F48" s="72">
        <f>F49</f>
        <v>231721228.5</v>
      </c>
      <c r="G48" s="72">
        <f t="shared" ref="G48:P48" si="5">G49</f>
        <v>231721228.5</v>
      </c>
      <c r="H48" s="72">
        <f t="shared" si="5"/>
        <v>151842810.38</v>
      </c>
      <c r="I48" s="72">
        <f t="shared" si="5"/>
        <v>21463513.859999999</v>
      </c>
      <c r="J48" s="73">
        <f t="shared" si="5"/>
        <v>0</v>
      </c>
      <c r="K48" s="72">
        <f t="shared" si="5"/>
        <v>27035472.259999998</v>
      </c>
      <c r="L48" s="72">
        <f t="shared" si="5"/>
        <v>18254872.259999998</v>
      </c>
      <c r="M48" s="73">
        <f t="shared" si="5"/>
        <v>8780600</v>
      </c>
      <c r="N48" s="73">
        <f t="shared" si="5"/>
        <v>190000</v>
      </c>
      <c r="O48" s="73">
        <f t="shared" si="5"/>
        <v>296300</v>
      </c>
      <c r="P48" s="72">
        <f t="shared" si="5"/>
        <v>18254872.259999998</v>
      </c>
      <c r="Q48" s="72">
        <f t="shared" ref="Q48:Q74" si="6">F48+K48</f>
        <v>258756700.75999999</v>
      </c>
      <c r="T48" s="21"/>
    </row>
    <row r="49" spans="1:20" s="23" customFormat="1" ht="31.2" customHeight="1">
      <c r="A49" s="74" t="s">
        <v>142</v>
      </c>
      <c r="B49" s="74" t="s">
        <v>142</v>
      </c>
      <c r="C49" s="80"/>
      <c r="D49" s="81" t="s">
        <v>179</v>
      </c>
      <c r="E49" s="80"/>
      <c r="F49" s="82">
        <f>G49</f>
        <v>231721228.5</v>
      </c>
      <c r="G49" s="82">
        <f>SUM(G50:G67)</f>
        <v>231721228.5</v>
      </c>
      <c r="H49" s="82">
        <f>SUM(H50:H67)</f>
        <v>151842810.38</v>
      </c>
      <c r="I49" s="82">
        <f>SUM(I50:I67)</f>
        <v>21463513.859999999</v>
      </c>
      <c r="J49" s="82">
        <f t="shared" ref="J49:P49" si="7">SUM(J50:J66)+J67</f>
        <v>0</v>
      </c>
      <c r="K49" s="82">
        <f t="shared" si="7"/>
        <v>27035472.259999998</v>
      </c>
      <c r="L49" s="82">
        <f t="shared" si="7"/>
        <v>18254872.259999998</v>
      </c>
      <c r="M49" s="82">
        <f t="shared" si="7"/>
        <v>8780600</v>
      </c>
      <c r="N49" s="82">
        <f t="shared" si="7"/>
        <v>190000</v>
      </c>
      <c r="O49" s="82">
        <f t="shared" si="7"/>
        <v>296300</v>
      </c>
      <c r="P49" s="82">
        <f t="shared" si="7"/>
        <v>18254872.259999998</v>
      </c>
      <c r="Q49" s="82">
        <f t="shared" si="6"/>
        <v>258756700.75999999</v>
      </c>
      <c r="T49" s="21"/>
    </row>
    <row r="50" spans="1:20" s="8" customFormat="1" ht="59.4" customHeight="1">
      <c r="A50" s="61" t="s">
        <v>144</v>
      </c>
      <c r="B50" s="61" t="s">
        <v>356</v>
      </c>
      <c r="C50" s="61" t="s">
        <v>60</v>
      </c>
      <c r="D50" s="109" t="s">
        <v>303</v>
      </c>
      <c r="E50" s="7" t="s">
        <v>2</v>
      </c>
      <c r="F50" s="4">
        <f t="shared" si="3"/>
        <v>1510240</v>
      </c>
      <c r="G50" s="4">
        <f>1445500+64000+740</f>
        <v>1510240</v>
      </c>
      <c r="H50" s="12">
        <f>1191300</f>
        <v>1191300</v>
      </c>
      <c r="I50" s="12">
        <v>25500</v>
      </c>
      <c r="J50" s="12"/>
      <c r="K50" s="4">
        <f t="shared" ref="K50:K67" si="8">M50+P50</f>
        <v>0</v>
      </c>
      <c r="L50" s="4"/>
      <c r="M50" s="12"/>
      <c r="N50" s="4"/>
      <c r="O50" s="12"/>
      <c r="P50" s="12"/>
      <c r="Q50" s="4">
        <f t="shared" si="6"/>
        <v>1510240</v>
      </c>
      <c r="T50" s="19"/>
    </row>
    <row r="51" spans="1:20" s="8" customFormat="1" ht="35.25" customHeight="1">
      <c r="A51" s="61" t="s">
        <v>273</v>
      </c>
      <c r="B51" s="61" t="s">
        <v>279</v>
      </c>
      <c r="C51" s="61" t="s">
        <v>71</v>
      </c>
      <c r="D51" s="109" t="s">
        <v>138</v>
      </c>
      <c r="E51" s="7"/>
      <c r="F51" s="4">
        <f t="shared" si="3"/>
        <v>22000</v>
      </c>
      <c r="G51" s="4">
        <f>20000+2000</f>
        <v>22000</v>
      </c>
      <c r="H51" s="12"/>
      <c r="I51" s="12"/>
      <c r="J51" s="12"/>
      <c r="K51" s="4">
        <f t="shared" si="8"/>
        <v>0</v>
      </c>
      <c r="L51" s="4"/>
      <c r="M51" s="12"/>
      <c r="N51" s="4"/>
      <c r="O51" s="12"/>
      <c r="P51" s="12"/>
      <c r="Q51" s="4">
        <f t="shared" si="6"/>
        <v>22000</v>
      </c>
      <c r="T51" s="19"/>
    </row>
    <row r="52" spans="1:20" s="8" customFormat="1" ht="36.75" customHeight="1">
      <c r="A52" s="61" t="s">
        <v>145</v>
      </c>
      <c r="B52" s="61" t="s">
        <v>80</v>
      </c>
      <c r="C52" s="61" t="s">
        <v>72</v>
      </c>
      <c r="D52" s="111" t="s">
        <v>146</v>
      </c>
      <c r="E52" s="7" t="s">
        <v>6</v>
      </c>
      <c r="F52" s="38">
        <f t="shared" si="3"/>
        <v>54481327.859999999</v>
      </c>
      <c r="G52" s="38">
        <f>54671800-3473160+1000000+113460+62906.86+10301+2000+30000+8930+1000000+6090+5000-26000+300000+70000+4000-930000+1626000</f>
        <v>54481327.859999999</v>
      </c>
      <c r="H52" s="47">
        <f>32047653+165000+1406000</f>
        <v>33618653</v>
      </c>
      <c r="I52" s="12">
        <f>7750800-540000-1400000</f>
        <v>5810800</v>
      </c>
      <c r="J52" s="12"/>
      <c r="K52" s="4">
        <f t="shared" si="8"/>
        <v>5083000</v>
      </c>
      <c r="L52" s="4">
        <f>227000+26000</f>
        <v>253000</v>
      </c>
      <c r="M52" s="12">
        <v>4830000</v>
      </c>
      <c r="N52" s="4"/>
      <c r="O52" s="12"/>
      <c r="P52" s="12">
        <f>227000+26000</f>
        <v>253000</v>
      </c>
      <c r="Q52" s="38">
        <f t="shared" si="6"/>
        <v>59564327.859999999</v>
      </c>
      <c r="T52" s="19"/>
    </row>
    <row r="53" spans="1:20" s="8" customFormat="1" ht="80.25" customHeight="1">
      <c r="A53" s="61" t="s">
        <v>147</v>
      </c>
      <c r="B53" s="61" t="s">
        <v>81</v>
      </c>
      <c r="C53" s="61" t="s">
        <v>73</v>
      </c>
      <c r="D53" s="111" t="s">
        <v>496</v>
      </c>
      <c r="E53" s="7" t="s">
        <v>40</v>
      </c>
      <c r="F53" s="38">
        <f t="shared" si="3"/>
        <v>156672841.5</v>
      </c>
      <c r="G53"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f>
        <v>156672841.5</v>
      </c>
      <c r="H53" s="47">
        <f>98082280+850000+200000+2800000+1500000+209500+250000+760000</f>
        <v>104651780</v>
      </c>
      <c r="I53" s="12">
        <f>16675710-30000-40000-1000000-150000-203500-480000</f>
        <v>14772210</v>
      </c>
      <c r="J53" s="12"/>
      <c r="K53" s="4">
        <f t="shared" si="8"/>
        <v>6255635</v>
      </c>
      <c r="L53" s="38">
        <f>715500+10000-33920-15500+504364+56041+1038135+14915+40000</f>
        <v>2329535</v>
      </c>
      <c r="M53" s="12">
        <v>3926100</v>
      </c>
      <c r="N53" s="4">
        <v>190000</v>
      </c>
      <c r="O53" s="12">
        <v>296300</v>
      </c>
      <c r="P53" s="47">
        <f>715500+10000-33920-15500+504364+56041+1038135+14915+40000</f>
        <v>2329535</v>
      </c>
      <c r="Q53" s="38">
        <f>F53+K53</f>
        <v>162928476.5</v>
      </c>
      <c r="T53" s="19"/>
    </row>
    <row r="54" spans="1:20" s="8" customFormat="1" ht="56.4" customHeight="1">
      <c r="A54" s="61" t="s">
        <v>148</v>
      </c>
      <c r="B54" s="61" t="s">
        <v>65</v>
      </c>
      <c r="C54" s="61" t="s">
        <v>74</v>
      </c>
      <c r="D54" s="110" t="s">
        <v>482</v>
      </c>
      <c r="E54" s="7" t="s">
        <v>7</v>
      </c>
      <c r="F54" s="38">
        <f t="shared" si="3"/>
        <v>7373160</v>
      </c>
      <c r="G54" s="38">
        <f>6896260+156800+13600+23500+5000-28140+28140-120000+350000+48000</f>
        <v>7373160</v>
      </c>
      <c r="H54" s="47">
        <f>5000000+290000</f>
        <v>5290000</v>
      </c>
      <c r="I54" s="12">
        <f>463620-120000</f>
        <v>343620</v>
      </c>
      <c r="J54" s="12"/>
      <c r="K54" s="4">
        <f t="shared" si="8"/>
        <v>277700</v>
      </c>
      <c r="L54" s="4">
        <f>32000+18000+193200+10000</f>
        <v>253200</v>
      </c>
      <c r="M54" s="12">
        <f>24500</f>
        <v>24500</v>
      </c>
      <c r="N54" s="4"/>
      <c r="O54" s="12"/>
      <c r="P54" s="12">
        <f>32000+18000+193200+10000</f>
        <v>253200</v>
      </c>
      <c r="Q54" s="4">
        <f t="shared" si="6"/>
        <v>7650860</v>
      </c>
      <c r="T54" s="19"/>
    </row>
    <row r="55" spans="1:20" s="8" customFormat="1" ht="40.200000000000003" customHeight="1">
      <c r="A55" s="61" t="s">
        <v>149</v>
      </c>
      <c r="B55" s="61" t="s">
        <v>385</v>
      </c>
      <c r="C55" s="61" t="s">
        <v>75</v>
      </c>
      <c r="D55" s="111" t="s">
        <v>484</v>
      </c>
      <c r="E55" s="7" t="s">
        <v>8</v>
      </c>
      <c r="F55" s="4">
        <f t="shared" si="3"/>
        <v>1276460</v>
      </c>
      <c r="G55" s="4">
        <f>1274460+2000</f>
        <v>1276460</v>
      </c>
      <c r="H55" s="12">
        <v>950000</v>
      </c>
      <c r="I55" s="12">
        <v>90360</v>
      </c>
      <c r="J55" s="12"/>
      <c r="K55" s="4">
        <f t="shared" si="8"/>
        <v>0</v>
      </c>
      <c r="L55" s="4"/>
      <c r="M55" s="12"/>
      <c r="N55" s="4"/>
      <c r="O55" s="12"/>
      <c r="P55" s="12"/>
      <c r="Q55" s="4">
        <f t="shared" si="6"/>
        <v>1276460</v>
      </c>
      <c r="T55" s="19"/>
    </row>
    <row r="56" spans="1:20" s="8" customFormat="1" ht="34.950000000000003" customHeight="1">
      <c r="A56" s="61" t="s">
        <v>225</v>
      </c>
      <c r="B56" s="61" t="s">
        <v>386</v>
      </c>
      <c r="C56" s="63" t="s">
        <v>75</v>
      </c>
      <c r="D56" s="7" t="s">
        <v>226</v>
      </c>
      <c r="E56" s="9"/>
      <c r="F56" s="124">
        <f t="shared" si="3"/>
        <v>4688232.34</v>
      </c>
      <c r="G56" s="38">
        <f>3799800+300000-62906.86+176339.2+75000+400000</f>
        <v>4688232.34</v>
      </c>
      <c r="H56" s="47">
        <f>2998437+340000</f>
        <v>3338437</v>
      </c>
      <c r="I56" s="12">
        <f>104300+30000</f>
        <v>134300</v>
      </c>
      <c r="J56" s="12"/>
      <c r="K56" s="4"/>
      <c r="L56" s="4"/>
      <c r="M56" s="12"/>
      <c r="N56" s="4"/>
      <c r="O56" s="12"/>
      <c r="P56" s="12"/>
      <c r="Q56" s="38">
        <f t="shared" si="6"/>
        <v>4688232.34</v>
      </c>
      <c r="T56" s="19"/>
    </row>
    <row r="57" spans="1:20" s="8" customFormat="1" ht="0.75" hidden="1" customHeight="1">
      <c r="B57" s="61" t="s">
        <v>384</v>
      </c>
      <c r="F57" s="40"/>
      <c r="G57" s="40"/>
      <c r="H57" s="40"/>
      <c r="I57" s="12"/>
      <c r="J57" s="12"/>
      <c r="K57" s="4"/>
      <c r="L57" s="4"/>
      <c r="M57" s="12"/>
      <c r="N57" s="4"/>
      <c r="O57" s="12"/>
      <c r="P57" s="12"/>
      <c r="Q57" s="4" t="e">
        <f>#REF!+K57</f>
        <v>#REF!</v>
      </c>
      <c r="T57" s="19"/>
    </row>
    <row r="58" spans="1:20" s="8" customFormat="1" ht="25.2" customHeight="1">
      <c r="A58" s="61" t="s">
        <v>267</v>
      </c>
      <c r="B58" s="61" t="s">
        <v>387</v>
      </c>
      <c r="C58" s="61" t="s">
        <v>75</v>
      </c>
      <c r="D58" s="10" t="s">
        <v>268</v>
      </c>
      <c r="E58" s="7"/>
      <c r="F58" s="4">
        <f t="shared" si="3"/>
        <v>19910</v>
      </c>
      <c r="G58" s="4">
        <v>19910</v>
      </c>
      <c r="H58" s="12"/>
      <c r="I58" s="12"/>
      <c r="J58" s="12"/>
      <c r="K58" s="4">
        <f t="shared" si="8"/>
        <v>0</v>
      </c>
      <c r="L58" s="4"/>
      <c r="M58" s="12"/>
      <c r="N58" s="4"/>
      <c r="O58" s="12"/>
      <c r="P58" s="12"/>
      <c r="Q58" s="4">
        <f t="shared" si="6"/>
        <v>19910</v>
      </c>
      <c r="T58" s="19"/>
    </row>
    <row r="59" spans="1:20" s="8" customFormat="1" ht="36.75" customHeight="1">
      <c r="A59" s="61" t="s">
        <v>323</v>
      </c>
      <c r="B59" s="61" t="s">
        <v>388</v>
      </c>
      <c r="C59" s="64" t="s">
        <v>75</v>
      </c>
      <c r="D59" s="113" t="s">
        <v>324</v>
      </c>
      <c r="E59" s="5"/>
      <c r="F59" s="123">
        <f>G59+J59</f>
        <v>1444756.41</v>
      </c>
      <c r="G59" s="38">
        <f>1258000+485256.41+1500-485256.41+185256.41</f>
        <v>1444756.41</v>
      </c>
      <c r="H59" s="47">
        <v>830000</v>
      </c>
      <c r="I59" s="12">
        <f>184200-20000</f>
        <v>164200</v>
      </c>
      <c r="J59" s="12"/>
      <c r="K59" s="4">
        <f>L59</f>
        <v>0</v>
      </c>
      <c r="L59" s="4"/>
      <c r="M59" s="12"/>
      <c r="N59" s="4"/>
      <c r="O59" s="12"/>
      <c r="P59" s="12"/>
      <c r="Q59" s="38">
        <f t="shared" si="6"/>
        <v>1444756.41</v>
      </c>
      <c r="T59" s="19"/>
    </row>
    <row r="60" spans="1:20" s="8" customFormat="1" ht="63" customHeight="1">
      <c r="A60" s="61" t="s">
        <v>150</v>
      </c>
      <c r="B60" s="61" t="s">
        <v>389</v>
      </c>
      <c r="C60" s="64" t="s">
        <v>76</v>
      </c>
      <c r="D60" s="114" t="s">
        <v>92</v>
      </c>
      <c r="E60" s="5" t="s">
        <v>44</v>
      </c>
      <c r="F60" s="123">
        <f t="shared" si="3"/>
        <v>3812391.39</v>
      </c>
      <c r="G60" s="38">
        <f>6611000+650000+164550+250000+9200+75000+10000-3744603.36-212755.25</f>
        <v>3812391.39</v>
      </c>
      <c r="H60" s="47">
        <f>2030900-58259.62</f>
        <v>1972640.38</v>
      </c>
      <c r="I60" s="47">
        <f>531040-408516.14</f>
        <v>122523.85999999999</v>
      </c>
      <c r="J60" s="12"/>
      <c r="K60" s="4">
        <f t="shared" si="8"/>
        <v>292710</v>
      </c>
      <c r="L60" s="4">
        <f>90000+231000-22200-6090</f>
        <v>292710</v>
      </c>
      <c r="M60" s="12"/>
      <c r="N60" s="4"/>
      <c r="O60" s="12"/>
      <c r="P60" s="12">
        <f>90000+231000-22200-6090</f>
        <v>292710</v>
      </c>
      <c r="Q60" s="38">
        <f t="shared" si="6"/>
        <v>4105101.39</v>
      </c>
      <c r="T60" s="19"/>
    </row>
    <row r="61" spans="1:20" s="8" customFormat="1" ht="34.5" customHeight="1">
      <c r="A61" s="61" t="s">
        <v>336</v>
      </c>
      <c r="B61" s="61" t="s">
        <v>375</v>
      </c>
      <c r="C61" s="64" t="s">
        <v>69</v>
      </c>
      <c r="D61" s="114" t="s">
        <v>115</v>
      </c>
      <c r="E61" s="5"/>
      <c r="F61" s="48">
        <v>0</v>
      </c>
      <c r="G61" s="4"/>
      <c r="H61" s="12"/>
      <c r="I61" s="12"/>
      <c r="J61" s="12"/>
      <c r="K61" s="38">
        <f t="shared" si="8"/>
        <v>0</v>
      </c>
      <c r="L61" s="38"/>
      <c r="M61" s="47"/>
      <c r="N61" s="4"/>
      <c r="O61" s="12"/>
      <c r="P61" s="12"/>
      <c r="Q61" s="38">
        <f t="shared" si="6"/>
        <v>0</v>
      </c>
      <c r="T61" s="19"/>
    </row>
    <row r="62" spans="1:20" s="8" customFormat="1" ht="34.5" customHeight="1">
      <c r="A62" s="61" t="s">
        <v>277</v>
      </c>
      <c r="B62" s="61" t="s">
        <v>390</v>
      </c>
      <c r="C62" s="64" t="s">
        <v>82</v>
      </c>
      <c r="D62" s="114" t="s">
        <v>278</v>
      </c>
      <c r="E62" s="5"/>
      <c r="F62" s="48">
        <f t="shared" si="3"/>
        <v>0</v>
      </c>
      <c r="G62" s="4"/>
      <c r="H62" s="12"/>
      <c r="I62" s="12"/>
      <c r="J62" s="12"/>
      <c r="K62" s="38">
        <f t="shared" si="8"/>
        <v>5528427.2599999998</v>
      </c>
      <c r="L62" s="38">
        <f>1168223.41+2477819.35+350468+743346-2092901.52+2581472.02+300000</f>
        <v>5528427.2599999998</v>
      </c>
      <c r="M62" s="12"/>
      <c r="N62" s="4"/>
      <c r="O62" s="12"/>
      <c r="P62" s="47">
        <f>1168223.41+2477819.35+350468+743346-2092901.52+2581472.02+300000</f>
        <v>5528427.2599999998</v>
      </c>
      <c r="Q62" s="38">
        <f t="shared" si="6"/>
        <v>5528427.2599999998</v>
      </c>
      <c r="T62" s="19"/>
    </row>
    <row r="63" spans="1:20" s="8" customFormat="1" ht="75.599999999999994" customHeight="1">
      <c r="A63" s="61" t="s">
        <v>276</v>
      </c>
      <c r="B63" s="61" t="s">
        <v>376</v>
      </c>
      <c r="C63" s="61" t="s">
        <v>209</v>
      </c>
      <c r="D63" s="111" t="s">
        <v>497</v>
      </c>
      <c r="E63" s="5"/>
      <c r="F63" s="48">
        <f t="shared" si="3"/>
        <v>0</v>
      </c>
      <c r="G63" s="4"/>
      <c r="H63" s="12"/>
      <c r="I63" s="12"/>
      <c r="J63" s="12"/>
      <c r="K63" s="38">
        <f t="shared" si="8"/>
        <v>0</v>
      </c>
      <c r="L63" s="38"/>
      <c r="M63" s="12"/>
      <c r="N63" s="4"/>
      <c r="O63" s="12"/>
      <c r="P63" s="47"/>
      <c r="Q63" s="38">
        <f t="shared" si="6"/>
        <v>0</v>
      </c>
      <c r="T63" s="19"/>
    </row>
    <row r="64" spans="1:20" s="8" customFormat="1" ht="36" customHeight="1">
      <c r="A64" s="61" t="s">
        <v>319</v>
      </c>
      <c r="B64" s="61" t="s">
        <v>391</v>
      </c>
      <c r="C64" s="61" t="s">
        <v>209</v>
      </c>
      <c r="D64" s="111" t="s">
        <v>320</v>
      </c>
      <c r="E64" s="5"/>
      <c r="F64" s="48">
        <f t="shared" si="3"/>
        <v>0</v>
      </c>
      <c r="G64" s="4"/>
      <c r="H64" s="12"/>
      <c r="I64" s="12"/>
      <c r="J64" s="12"/>
      <c r="K64" s="4">
        <f t="shared" si="8"/>
        <v>0</v>
      </c>
      <c r="L64" s="4"/>
      <c r="M64" s="12"/>
      <c r="N64" s="4"/>
      <c r="O64" s="12"/>
      <c r="P64" s="12"/>
      <c r="Q64" s="4">
        <f t="shared" si="6"/>
        <v>0</v>
      </c>
      <c r="T64" s="19"/>
    </row>
    <row r="65" spans="1:20" s="8" customFormat="1" ht="42" customHeight="1">
      <c r="A65" s="61" t="s">
        <v>470</v>
      </c>
      <c r="B65" s="61" t="s">
        <v>463</v>
      </c>
      <c r="C65" s="61" t="s">
        <v>464</v>
      </c>
      <c r="D65" s="111" t="s">
        <v>465</v>
      </c>
      <c r="E65" s="13"/>
      <c r="F65" s="4">
        <f t="shared" si="3"/>
        <v>419909</v>
      </c>
      <c r="G65" s="45">
        <f>397000+24699-2990+1200</f>
        <v>419909</v>
      </c>
      <c r="H65" s="46"/>
      <c r="I65" s="46"/>
      <c r="J65" s="46"/>
      <c r="K65" s="4">
        <f t="shared" si="8"/>
        <v>168000</v>
      </c>
      <c r="L65" s="45">
        <v>168000</v>
      </c>
      <c r="M65" s="45"/>
      <c r="N65" s="45"/>
      <c r="O65" s="46"/>
      <c r="P65" s="46">
        <v>168000</v>
      </c>
      <c r="Q65" s="4">
        <f>F65+K65</f>
        <v>587909</v>
      </c>
      <c r="T65" s="19"/>
    </row>
    <row r="66" spans="1:20" s="8" customFormat="1" ht="34.5" customHeight="1">
      <c r="A66" s="65" t="s">
        <v>291</v>
      </c>
      <c r="B66" s="61" t="s">
        <v>378</v>
      </c>
      <c r="C66" s="65"/>
      <c r="D66" s="110" t="s">
        <v>140</v>
      </c>
      <c r="E66" s="5"/>
      <c r="F66" s="48">
        <f t="shared" si="3"/>
        <v>0</v>
      </c>
      <c r="G66" s="4"/>
      <c r="H66" s="12"/>
      <c r="I66" s="12"/>
      <c r="J66" s="12"/>
      <c r="K66" s="4">
        <f t="shared" si="8"/>
        <v>9430000</v>
      </c>
      <c r="L66" s="4">
        <f>8680000+500000+250000</f>
        <v>9430000</v>
      </c>
      <c r="M66" s="12"/>
      <c r="N66" s="4"/>
      <c r="O66" s="12"/>
      <c r="P66" s="12">
        <f>8680000+500000+250000</f>
        <v>9430000</v>
      </c>
      <c r="Q66" s="4">
        <f t="shared" si="6"/>
        <v>9430000</v>
      </c>
      <c r="T66" s="19"/>
    </row>
    <row r="67" spans="1:20" s="8" customFormat="1" ht="51" hidden="1" customHeight="1">
      <c r="A67" s="61" t="s">
        <v>353</v>
      </c>
      <c r="B67" s="61" t="s">
        <v>381</v>
      </c>
      <c r="C67" s="61" t="s">
        <v>70</v>
      </c>
      <c r="D67" s="35" t="s">
        <v>265</v>
      </c>
      <c r="E67" s="5"/>
      <c r="F67" s="48">
        <f t="shared" si="3"/>
        <v>0</v>
      </c>
      <c r="G67" s="4"/>
      <c r="H67" s="12"/>
      <c r="I67" s="12"/>
      <c r="J67" s="12"/>
      <c r="K67" s="4">
        <f t="shared" si="8"/>
        <v>0</v>
      </c>
      <c r="L67" s="4"/>
      <c r="M67" s="12"/>
      <c r="N67" s="4"/>
      <c r="O67" s="12"/>
      <c r="P67" s="12"/>
      <c r="Q67" s="4">
        <f t="shared" si="6"/>
        <v>0</v>
      </c>
      <c r="T67" s="19"/>
    </row>
    <row r="68" spans="1:20" s="23" customFormat="1" ht="48" customHeight="1">
      <c r="A68" s="69" t="s">
        <v>157</v>
      </c>
      <c r="B68" s="69" t="s">
        <v>157</v>
      </c>
      <c r="C68" s="83"/>
      <c r="D68" s="79" t="s">
        <v>488</v>
      </c>
      <c r="E68" s="78" t="s">
        <v>33</v>
      </c>
      <c r="F68" s="72">
        <f>F69</f>
        <v>27517660</v>
      </c>
      <c r="G68" s="72">
        <f t="shared" ref="G68:P68" si="9">G69</f>
        <v>27517660</v>
      </c>
      <c r="H68" s="73">
        <f t="shared" si="9"/>
        <v>18335197</v>
      </c>
      <c r="I68" s="73">
        <f t="shared" si="9"/>
        <v>659850</v>
      </c>
      <c r="J68" s="73">
        <f t="shared" si="9"/>
        <v>0</v>
      </c>
      <c r="K68" s="72">
        <f t="shared" si="9"/>
        <v>296300</v>
      </c>
      <c r="L68" s="73">
        <f t="shared" si="9"/>
        <v>151300</v>
      </c>
      <c r="M68" s="73">
        <f t="shared" si="9"/>
        <v>145000</v>
      </c>
      <c r="N68" s="73">
        <f t="shared" si="9"/>
        <v>96700</v>
      </c>
      <c r="O68" s="73">
        <f t="shared" si="9"/>
        <v>0</v>
      </c>
      <c r="P68" s="73">
        <f t="shared" si="9"/>
        <v>151300</v>
      </c>
      <c r="Q68" s="72">
        <f t="shared" si="6"/>
        <v>27813960</v>
      </c>
      <c r="R68" s="56"/>
      <c r="T68" s="21"/>
    </row>
    <row r="69" spans="1:20" s="23" customFormat="1" ht="42" customHeight="1">
      <c r="A69" s="74" t="s">
        <v>158</v>
      </c>
      <c r="B69" s="74" t="s">
        <v>158</v>
      </c>
      <c r="C69" s="84"/>
      <c r="D69" s="81" t="str">
        <f>D68</f>
        <v>Управління  соціального захисту населення  міської ради</v>
      </c>
      <c r="E69" s="80"/>
      <c r="F69" s="82">
        <f>G69+J69</f>
        <v>27517660</v>
      </c>
      <c r="G69" s="82">
        <f>G70+G71+G72+G73+G74+G75+G76+G77+G78+G79+G80+G89+G91+G92+G93+G94+G95+G97+G98+G99+G100+G101+G102+G104+G105+G103+G110+G96+G106+G109+G107</f>
        <v>27517660</v>
      </c>
      <c r="H69" s="82">
        <f t="shared" ref="H69:O69" si="10">H70+H71+H72+H73+H74+H75+H76+H77+H78+H79+H80+H89+H91+H92+H93+H94+H95+H97+H98+H99+H100+H101+H102+H104+H105+H103+H110+H96+H106+H109</f>
        <v>18335197</v>
      </c>
      <c r="I69" s="82">
        <f t="shared" si="10"/>
        <v>659850</v>
      </c>
      <c r="J69" s="82">
        <f t="shared" si="10"/>
        <v>0</v>
      </c>
      <c r="K69" s="82">
        <f>K70+K71+K72+K73+K74+K75+K76+K77+K78+K79+K80+K89+K91+K92+K93+K94+K95+K97+K98+K99+K100+K101+K102+K104+K105+K103+K110+K96+K106+K109+K108</f>
        <v>296300</v>
      </c>
      <c r="L69" s="82">
        <f>L70+L71+L72+L73+L74+L75+L76+L77+L78+L79+L80+L89+L91+L92+L93+L94+L95+L97+L98+L99+L100+L101+L102+L104+L105+L103+L110+L96+L106+L109+L108</f>
        <v>151300</v>
      </c>
      <c r="M69" s="82">
        <f t="shared" si="10"/>
        <v>145000</v>
      </c>
      <c r="N69" s="82">
        <f t="shared" si="10"/>
        <v>96700</v>
      </c>
      <c r="O69" s="82">
        <f t="shared" si="10"/>
        <v>0</v>
      </c>
      <c r="P69" s="82">
        <f>P70+P71+P72+P73+P74+P75+P76+P77+P78+P79+P80+P89+P91+P92+P93+P94+P95+P97+P98+P99+P100+P101+P102+P104+P105+P103+P110+P96+P106+P109+P108</f>
        <v>151300</v>
      </c>
      <c r="Q69" s="82">
        <f t="shared" si="6"/>
        <v>27813960</v>
      </c>
      <c r="T69" s="21"/>
    </row>
    <row r="70" spans="1:20" s="8" customFormat="1" ht="61.2" customHeight="1">
      <c r="A70" s="61" t="s">
        <v>159</v>
      </c>
      <c r="B70" s="61" t="s">
        <v>356</v>
      </c>
      <c r="C70" s="61" t="s">
        <v>60</v>
      </c>
      <c r="D70" s="109" t="s">
        <v>306</v>
      </c>
      <c r="E70" s="7" t="s">
        <v>2</v>
      </c>
      <c r="F70" s="4">
        <f t="shared" si="3"/>
        <v>14658300</v>
      </c>
      <c r="G70" s="12">
        <f>13767300+611000+280000</f>
        <v>14658300</v>
      </c>
      <c r="H70" s="12">
        <f>11432500+260000</f>
        <v>11692500</v>
      </c>
      <c r="I70" s="12">
        <v>276650</v>
      </c>
      <c r="J70" s="12"/>
      <c r="K70" s="4">
        <f t="shared" ref="K70:K79" si="11">M70+P70</f>
        <v>0</v>
      </c>
      <c r="L70" s="4"/>
      <c r="M70" s="12"/>
      <c r="N70" s="12"/>
      <c r="O70" s="12"/>
      <c r="P70" s="12"/>
      <c r="Q70" s="4">
        <f t="shared" si="6"/>
        <v>14658300</v>
      </c>
      <c r="T70" s="19"/>
    </row>
    <row r="71" spans="1:20" s="8" customFormat="1" ht="40.950000000000003" customHeight="1">
      <c r="A71" s="61" t="s">
        <v>180</v>
      </c>
      <c r="B71" s="61" t="s">
        <v>279</v>
      </c>
      <c r="C71" s="61" t="s">
        <v>71</v>
      </c>
      <c r="D71" s="109" t="s">
        <v>138</v>
      </c>
      <c r="E71" s="7"/>
      <c r="F71" s="4">
        <f t="shared" si="3"/>
        <v>21300</v>
      </c>
      <c r="G71" s="12">
        <f>20300+1000</f>
        <v>21300</v>
      </c>
      <c r="H71" s="12"/>
      <c r="I71" s="12"/>
      <c r="J71" s="12"/>
      <c r="K71" s="4">
        <f t="shared" si="11"/>
        <v>0</v>
      </c>
      <c r="L71" s="4"/>
      <c r="M71" s="12"/>
      <c r="N71" s="12"/>
      <c r="O71" s="12"/>
      <c r="P71" s="12"/>
      <c r="Q71" s="4">
        <f t="shared" si="6"/>
        <v>21300</v>
      </c>
      <c r="T71" s="19"/>
    </row>
    <row r="72" spans="1:20" s="23" customFormat="1" ht="53.25" hidden="1" customHeight="1">
      <c r="A72" s="66" t="s">
        <v>160</v>
      </c>
      <c r="B72" s="61" t="s">
        <v>393</v>
      </c>
      <c r="C72" s="61" t="s">
        <v>77</v>
      </c>
      <c r="D72" s="111" t="s">
        <v>161</v>
      </c>
      <c r="E72" s="7" t="s">
        <v>29</v>
      </c>
      <c r="F72" s="38">
        <f t="shared" si="3"/>
        <v>0</v>
      </c>
      <c r="G72" s="39"/>
      <c r="H72" s="4"/>
      <c r="I72" s="4"/>
      <c r="J72" s="4"/>
      <c r="K72" s="4">
        <f t="shared" si="11"/>
        <v>0</v>
      </c>
      <c r="L72" s="4"/>
      <c r="M72" s="4"/>
      <c r="N72" s="4"/>
      <c r="O72" s="4"/>
      <c r="P72" s="4"/>
      <c r="Q72" s="4">
        <f t="shared" si="6"/>
        <v>0</v>
      </c>
      <c r="T72" s="21"/>
    </row>
    <row r="73" spans="1:20" s="23" customFormat="1" ht="40.5" hidden="1" customHeight="1">
      <c r="A73" s="66" t="s">
        <v>164</v>
      </c>
      <c r="B73" s="61" t="s">
        <v>394</v>
      </c>
      <c r="C73" s="61" t="s">
        <v>79</v>
      </c>
      <c r="D73" s="111" t="s">
        <v>104</v>
      </c>
      <c r="E73" s="7" t="s">
        <v>22</v>
      </c>
      <c r="F73" s="38">
        <f t="shared" ref="F73:F79" si="12">G73+J73</f>
        <v>0</v>
      </c>
      <c r="G73" s="39"/>
      <c r="H73" s="4"/>
      <c r="I73" s="4"/>
      <c r="J73" s="4"/>
      <c r="K73" s="4">
        <f t="shared" si="11"/>
        <v>0</v>
      </c>
      <c r="L73" s="4"/>
      <c r="M73" s="4"/>
      <c r="N73" s="4"/>
      <c r="O73" s="4"/>
      <c r="P73" s="4"/>
      <c r="Q73" s="4">
        <f>F73+K73</f>
        <v>0</v>
      </c>
      <c r="T73" s="21"/>
    </row>
    <row r="74" spans="1:20" s="23" customFormat="1" ht="64.5" hidden="1" customHeight="1">
      <c r="A74" s="66" t="s">
        <v>162</v>
      </c>
      <c r="B74" s="61" t="s">
        <v>395</v>
      </c>
      <c r="C74" s="61" t="s">
        <v>77</v>
      </c>
      <c r="D74" s="111" t="s">
        <v>163</v>
      </c>
      <c r="E74" s="25" t="s">
        <v>18</v>
      </c>
      <c r="F74" s="4">
        <f t="shared" si="12"/>
        <v>0</v>
      </c>
      <c r="G74" s="11"/>
      <c r="H74" s="4"/>
      <c r="I74" s="4"/>
      <c r="J74" s="4"/>
      <c r="K74" s="4">
        <f t="shared" si="11"/>
        <v>0</v>
      </c>
      <c r="L74" s="4"/>
      <c r="M74" s="4"/>
      <c r="N74" s="4"/>
      <c r="O74" s="4"/>
      <c r="P74" s="4"/>
      <c r="Q74" s="4">
        <f t="shared" si="6"/>
        <v>0</v>
      </c>
      <c r="T74" s="21"/>
    </row>
    <row r="75" spans="1:20" s="23" customFormat="1" ht="57" hidden="1" customHeight="1">
      <c r="A75" s="66" t="s">
        <v>165</v>
      </c>
      <c r="B75" s="61" t="s">
        <v>396</v>
      </c>
      <c r="C75" s="61" t="s">
        <v>79</v>
      </c>
      <c r="D75" s="111" t="s">
        <v>105</v>
      </c>
      <c r="E75" s="7" t="s">
        <v>43</v>
      </c>
      <c r="F75" s="4">
        <f t="shared" si="12"/>
        <v>0</v>
      </c>
      <c r="G75" s="11"/>
      <c r="H75" s="4"/>
      <c r="I75" s="4"/>
      <c r="J75" s="4"/>
      <c r="K75" s="4">
        <f t="shared" si="11"/>
        <v>0</v>
      </c>
      <c r="L75" s="4"/>
      <c r="M75" s="4"/>
      <c r="N75" s="4"/>
      <c r="O75" s="4"/>
      <c r="P75" s="4"/>
      <c r="Q75" s="4">
        <f>F75+K75</f>
        <v>0</v>
      </c>
      <c r="T75" s="21"/>
    </row>
    <row r="76" spans="1:20" s="23" customFormat="1" ht="33" hidden="1" customHeight="1">
      <c r="A76" s="61" t="s">
        <v>211</v>
      </c>
      <c r="B76" s="61" t="s">
        <v>397</v>
      </c>
      <c r="C76" s="61" t="s">
        <v>77</v>
      </c>
      <c r="D76" s="110" t="s">
        <v>217</v>
      </c>
      <c r="E76" s="7"/>
      <c r="F76" s="4">
        <f t="shared" si="12"/>
        <v>0</v>
      </c>
      <c r="G76" s="4"/>
      <c r="H76" s="4"/>
      <c r="I76" s="4"/>
      <c r="J76" s="4"/>
      <c r="K76" s="4">
        <f t="shared" si="11"/>
        <v>0</v>
      </c>
      <c r="L76" s="4"/>
      <c r="M76" s="4"/>
      <c r="N76" s="4"/>
      <c r="O76" s="4"/>
      <c r="P76" s="4"/>
      <c r="Q76" s="4">
        <f>F76+K76</f>
        <v>0</v>
      </c>
      <c r="T76" s="21"/>
    </row>
    <row r="77" spans="1:20" s="23" customFormat="1" ht="50.4" customHeight="1">
      <c r="A77" s="61" t="s">
        <v>212</v>
      </c>
      <c r="B77" s="61" t="s">
        <v>398</v>
      </c>
      <c r="C77" s="61" t="s">
        <v>78</v>
      </c>
      <c r="D77" s="110" t="s">
        <v>299</v>
      </c>
      <c r="E77" s="7"/>
      <c r="F77" s="4">
        <f t="shared" si="12"/>
        <v>450000</v>
      </c>
      <c r="G77" s="4">
        <v>450000</v>
      </c>
      <c r="H77" s="4"/>
      <c r="I77" s="4"/>
      <c r="J77" s="4"/>
      <c r="K77" s="4">
        <f t="shared" si="11"/>
        <v>0</v>
      </c>
      <c r="L77" s="4"/>
      <c r="M77" s="4"/>
      <c r="N77" s="4"/>
      <c r="O77" s="4"/>
      <c r="P77" s="4"/>
      <c r="Q77" s="4">
        <f>F77+K77</f>
        <v>450000</v>
      </c>
      <c r="T77" s="21"/>
    </row>
    <row r="78" spans="1:20" s="23" customFormat="1" ht="53.4" customHeight="1">
      <c r="A78" s="61" t="s">
        <v>213</v>
      </c>
      <c r="B78" s="61" t="s">
        <v>399</v>
      </c>
      <c r="C78" s="61" t="s">
        <v>78</v>
      </c>
      <c r="D78" s="110" t="s">
        <v>215</v>
      </c>
      <c r="E78" s="7"/>
      <c r="F78" s="4">
        <f t="shared" si="12"/>
        <v>1800000</v>
      </c>
      <c r="G78" s="4">
        <v>1800000</v>
      </c>
      <c r="H78" s="4"/>
      <c r="I78" s="4"/>
      <c r="J78" s="4"/>
      <c r="K78" s="4">
        <f t="shared" si="11"/>
        <v>0</v>
      </c>
      <c r="L78" s="4"/>
      <c r="M78" s="4"/>
      <c r="N78" s="4"/>
      <c r="O78" s="4"/>
      <c r="P78" s="4"/>
      <c r="Q78" s="4">
        <f>F78+K78</f>
        <v>1800000</v>
      </c>
      <c r="T78" s="21"/>
    </row>
    <row r="79" spans="1:20" s="23" customFormat="1" ht="60" customHeight="1">
      <c r="A79" s="61" t="s">
        <v>214</v>
      </c>
      <c r="B79" s="61" t="s">
        <v>400</v>
      </c>
      <c r="C79" s="61" t="s">
        <v>78</v>
      </c>
      <c r="D79" s="110" t="s">
        <v>216</v>
      </c>
      <c r="E79" s="7"/>
      <c r="F79" s="4">
        <f t="shared" si="12"/>
        <v>770000</v>
      </c>
      <c r="G79" s="4">
        <v>770000</v>
      </c>
      <c r="H79" s="4"/>
      <c r="I79" s="4"/>
      <c r="J79" s="4"/>
      <c r="K79" s="4">
        <f t="shared" si="11"/>
        <v>0</v>
      </c>
      <c r="L79" s="4"/>
      <c r="M79" s="4"/>
      <c r="N79" s="4"/>
      <c r="O79" s="4"/>
      <c r="P79" s="4"/>
      <c r="Q79" s="4">
        <f>F79+K79</f>
        <v>770000</v>
      </c>
      <c r="T79" s="21"/>
    </row>
    <row r="80" spans="1:20" s="23" customFormat="1" ht="40.5" hidden="1" customHeight="1">
      <c r="A80" s="60" t="s">
        <v>485</v>
      </c>
      <c r="B80" s="61"/>
      <c r="C80" s="24"/>
      <c r="D80" s="115" t="s">
        <v>37</v>
      </c>
      <c r="E80" s="7" t="s">
        <v>37</v>
      </c>
      <c r="F80" s="4">
        <f t="shared" ref="F80:F88" si="13">G80+J80</f>
        <v>0</v>
      </c>
      <c r="G80" s="4">
        <f>G81+G82+G83+G84+G85+G86+G87+G88</f>
        <v>0</v>
      </c>
      <c r="H80" s="4">
        <f t="shared" ref="H80:P80" si="14">H81+H82+H83+H84+H85+H86+H87</f>
        <v>0</v>
      </c>
      <c r="I80" s="4">
        <f t="shared" si="14"/>
        <v>0</v>
      </c>
      <c r="J80" s="4">
        <f t="shared" si="14"/>
        <v>0</v>
      </c>
      <c r="K80" s="4">
        <f t="shared" si="14"/>
        <v>0</v>
      </c>
      <c r="L80" s="4">
        <f t="shared" si="14"/>
        <v>0</v>
      </c>
      <c r="M80" s="4">
        <f t="shared" si="14"/>
        <v>0</v>
      </c>
      <c r="N80" s="4">
        <f t="shared" si="14"/>
        <v>0</v>
      </c>
      <c r="O80" s="4">
        <f t="shared" si="14"/>
        <v>0</v>
      </c>
      <c r="P80" s="4">
        <f t="shared" si="14"/>
        <v>0</v>
      </c>
      <c r="Q80" s="4">
        <f t="shared" ref="Q80:Q97" si="15">F80+K80</f>
        <v>0</v>
      </c>
      <c r="T80" s="21"/>
    </row>
    <row r="81" spans="1:20" s="23" customFormat="1" ht="40.5" hidden="1" customHeight="1">
      <c r="A81" s="61" t="s">
        <v>168</v>
      </c>
      <c r="B81" s="61" t="s">
        <v>401</v>
      </c>
      <c r="C81" s="61" t="s">
        <v>66</v>
      </c>
      <c r="D81" s="111" t="s">
        <v>97</v>
      </c>
      <c r="E81" s="7" t="s">
        <v>42</v>
      </c>
      <c r="F81" s="4">
        <f t="shared" si="13"/>
        <v>0</v>
      </c>
      <c r="G81" s="4"/>
      <c r="H81" s="4"/>
      <c r="I81" s="4"/>
      <c r="J81" s="4"/>
      <c r="K81" s="4">
        <f t="shared" ref="K81:K97" si="16">M81+P81</f>
        <v>0</v>
      </c>
      <c r="L81" s="4"/>
      <c r="M81" s="4"/>
      <c r="N81" s="4"/>
      <c r="O81" s="4"/>
      <c r="P81" s="4"/>
      <c r="Q81" s="4">
        <f t="shared" si="15"/>
        <v>0</v>
      </c>
      <c r="T81" s="21"/>
    </row>
    <row r="82" spans="1:20" s="23" customFormat="1" ht="40.5" hidden="1" customHeight="1">
      <c r="A82" s="61" t="s">
        <v>167</v>
      </c>
      <c r="B82" s="61" t="s">
        <v>402</v>
      </c>
      <c r="C82" s="61" t="s">
        <v>66</v>
      </c>
      <c r="D82" s="111" t="s">
        <v>102</v>
      </c>
      <c r="E82" s="7" t="s">
        <v>30</v>
      </c>
      <c r="F82" s="4">
        <f t="shared" si="13"/>
        <v>0</v>
      </c>
      <c r="G82" s="4"/>
      <c r="H82" s="4"/>
      <c r="I82" s="4"/>
      <c r="J82" s="4"/>
      <c r="K82" s="4">
        <f t="shared" si="16"/>
        <v>0</v>
      </c>
      <c r="L82" s="4"/>
      <c r="M82" s="4"/>
      <c r="N82" s="4"/>
      <c r="O82" s="4"/>
      <c r="P82" s="4"/>
      <c r="Q82" s="4">
        <f t="shared" si="15"/>
        <v>0</v>
      </c>
      <c r="T82" s="21"/>
    </row>
    <row r="83" spans="1:20" s="23" customFormat="1" ht="40.5" hidden="1" customHeight="1">
      <c r="A83" s="61" t="s">
        <v>169</v>
      </c>
      <c r="B83" s="61" t="s">
        <v>403</v>
      </c>
      <c r="C83" s="61" t="s">
        <v>66</v>
      </c>
      <c r="D83" s="111" t="s">
        <v>98</v>
      </c>
      <c r="E83" s="7" t="s">
        <v>25</v>
      </c>
      <c r="F83" s="4">
        <f t="shared" si="13"/>
        <v>0</v>
      </c>
      <c r="G83" s="4"/>
      <c r="H83" s="4"/>
      <c r="I83" s="4"/>
      <c r="J83" s="4"/>
      <c r="K83" s="4">
        <f t="shared" si="16"/>
        <v>0</v>
      </c>
      <c r="L83" s="4"/>
      <c r="M83" s="4"/>
      <c r="N83" s="4"/>
      <c r="O83" s="4"/>
      <c r="P83" s="4"/>
      <c r="Q83" s="4">
        <f t="shared" si="15"/>
        <v>0</v>
      </c>
      <c r="T83" s="21"/>
    </row>
    <row r="84" spans="1:20" s="23" customFormat="1" ht="40.5" hidden="1" customHeight="1">
      <c r="A84" s="61" t="s">
        <v>170</v>
      </c>
      <c r="B84" s="61" t="s">
        <v>404</v>
      </c>
      <c r="C84" s="61" t="s">
        <v>66</v>
      </c>
      <c r="D84" s="111" t="s">
        <v>99</v>
      </c>
      <c r="E84" s="7" t="s">
        <v>23</v>
      </c>
      <c r="F84" s="4">
        <f t="shared" si="13"/>
        <v>0</v>
      </c>
      <c r="G84" s="4"/>
      <c r="H84" s="4"/>
      <c r="I84" s="4"/>
      <c r="J84" s="4"/>
      <c r="K84" s="4">
        <f t="shared" si="16"/>
        <v>0</v>
      </c>
      <c r="L84" s="4"/>
      <c r="M84" s="4"/>
      <c r="N84" s="4"/>
      <c r="O84" s="4"/>
      <c r="P84" s="4"/>
      <c r="Q84" s="4">
        <f t="shared" si="15"/>
        <v>0</v>
      </c>
      <c r="T84" s="21"/>
    </row>
    <row r="85" spans="1:20" s="23" customFormat="1" ht="40.5" hidden="1" customHeight="1">
      <c r="A85" s="61" t="s">
        <v>171</v>
      </c>
      <c r="B85" s="61" t="s">
        <v>405</v>
      </c>
      <c r="C85" s="61" t="s">
        <v>66</v>
      </c>
      <c r="D85" s="111" t="s">
        <v>100</v>
      </c>
      <c r="E85" s="7" t="s">
        <v>31</v>
      </c>
      <c r="F85" s="4">
        <f t="shared" si="13"/>
        <v>0</v>
      </c>
      <c r="G85" s="4"/>
      <c r="H85" s="4"/>
      <c r="I85" s="4"/>
      <c r="J85" s="4"/>
      <c r="K85" s="4">
        <f t="shared" si="16"/>
        <v>0</v>
      </c>
      <c r="L85" s="4"/>
      <c r="M85" s="4"/>
      <c r="N85" s="4"/>
      <c r="O85" s="4"/>
      <c r="P85" s="4"/>
      <c r="Q85" s="4">
        <f t="shared" si="15"/>
        <v>0</v>
      </c>
      <c r="T85" s="21"/>
    </row>
    <row r="86" spans="1:20" s="23" customFormat="1" ht="40.5" hidden="1" customHeight="1">
      <c r="A86" s="61" t="s">
        <v>172</v>
      </c>
      <c r="B86" s="61" t="s">
        <v>406</v>
      </c>
      <c r="C86" s="61" t="s">
        <v>66</v>
      </c>
      <c r="D86" s="111" t="s">
        <v>101</v>
      </c>
      <c r="E86" s="7" t="s">
        <v>17</v>
      </c>
      <c r="F86" s="4">
        <f t="shared" si="13"/>
        <v>0</v>
      </c>
      <c r="G86" s="4"/>
      <c r="H86" s="4"/>
      <c r="I86" s="4"/>
      <c r="J86" s="4"/>
      <c r="K86" s="4">
        <f t="shared" si="16"/>
        <v>0</v>
      </c>
      <c r="L86" s="4"/>
      <c r="M86" s="4"/>
      <c r="N86" s="4"/>
      <c r="O86" s="4"/>
      <c r="P86" s="4"/>
      <c r="Q86" s="4">
        <f t="shared" si="15"/>
        <v>0</v>
      </c>
      <c r="T86" s="21"/>
    </row>
    <row r="87" spans="1:20" s="23" customFormat="1" ht="40.5" hidden="1" customHeight="1">
      <c r="A87" s="61" t="s">
        <v>173</v>
      </c>
      <c r="B87" s="61" t="s">
        <v>407</v>
      </c>
      <c r="C87" s="61" t="s">
        <v>66</v>
      </c>
      <c r="D87" s="111" t="s">
        <v>103</v>
      </c>
      <c r="E87" s="7" t="s">
        <v>24</v>
      </c>
      <c r="F87" s="4">
        <f t="shared" si="13"/>
        <v>0</v>
      </c>
      <c r="G87" s="4"/>
      <c r="H87" s="4"/>
      <c r="I87" s="4"/>
      <c r="J87" s="4"/>
      <c r="K87" s="4">
        <f t="shared" si="16"/>
        <v>0</v>
      </c>
      <c r="L87" s="4"/>
      <c r="M87" s="4"/>
      <c r="N87" s="4"/>
      <c r="O87" s="4"/>
      <c r="P87" s="4"/>
      <c r="Q87" s="4">
        <f t="shared" si="15"/>
        <v>0</v>
      </c>
      <c r="T87" s="21"/>
    </row>
    <row r="88" spans="1:20" s="23" customFormat="1" ht="40.5" hidden="1" customHeight="1">
      <c r="A88" s="61" t="s">
        <v>329</v>
      </c>
      <c r="B88" s="61" t="s">
        <v>408</v>
      </c>
      <c r="C88" s="61" t="s">
        <v>66</v>
      </c>
      <c r="D88" s="111" t="s">
        <v>330</v>
      </c>
      <c r="E88" s="7"/>
      <c r="F88" s="4">
        <f t="shared" si="13"/>
        <v>0</v>
      </c>
      <c r="G88" s="4"/>
      <c r="H88" s="4"/>
      <c r="I88" s="4"/>
      <c r="J88" s="4"/>
      <c r="K88" s="4"/>
      <c r="L88" s="4"/>
      <c r="M88" s="4"/>
      <c r="N88" s="4"/>
      <c r="O88" s="4"/>
      <c r="P88" s="4"/>
      <c r="Q88" s="4">
        <f t="shared" si="15"/>
        <v>0</v>
      </c>
      <c r="T88" s="21"/>
    </row>
    <row r="89" spans="1:20" s="23" customFormat="1" ht="57" customHeight="1">
      <c r="A89" s="61" t="s">
        <v>166</v>
      </c>
      <c r="B89" s="61" t="s">
        <v>409</v>
      </c>
      <c r="C89" s="61" t="s">
        <v>78</v>
      </c>
      <c r="D89" s="111" t="s">
        <v>96</v>
      </c>
      <c r="E89" s="7" t="s">
        <v>57</v>
      </c>
      <c r="F89" s="4">
        <f t="shared" ref="F89:F96" si="17">G89+J89</f>
        <v>88900</v>
      </c>
      <c r="G89" s="4">
        <v>88900</v>
      </c>
      <c r="H89" s="4"/>
      <c r="I89" s="4"/>
      <c r="J89" s="4"/>
      <c r="K89" s="4">
        <f t="shared" ref="K89:K95" si="18">M89+P89</f>
        <v>0</v>
      </c>
      <c r="L89" s="4"/>
      <c r="M89" s="4"/>
      <c r="N89" s="4"/>
      <c r="O89" s="4"/>
      <c r="P89" s="4"/>
      <c r="Q89" s="4">
        <f t="shared" ref="Q89:Q96" si="19">F89+K89</f>
        <v>88900</v>
      </c>
      <c r="T89" s="21"/>
    </row>
    <row r="90" spans="1:20" s="23" customFormat="1" ht="194.25" hidden="1" customHeight="1">
      <c r="A90" s="61" t="s">
        <v>174</v>
      </c>
      <c r="B90" s="61" t="s">
        <v>410</v>
      </c>
      <c r="C90" s="60"/>
      <c r="D90" s="35" t="s">
        <v>326</v>
      </c>
      <c r="E90" s="7" t="s">
        <v>51</v>
      </c>
      <c r="F90" s="4">
        <f t="shared" si="17"/>
        <v>0</v>
      </c>
      <c r="G90" s="4">
        <f>G91+G92+G93+G94+G95+G96</f>
        <v>0</v>
      </c>
      <c r="H90" s="12"/>
      <c r="I90" s="12"/>
      <c r="J90" s="12"/>
      <c r="K90" s="4">
        <f t="shared" si="18"/>
        <v>0</v>
      </c>
      <c r="L90" s="4"/>
      <c r="M90" s="12"/>
      <c r="N90" s="4"/>
      <c r="O90" s="12"/>
      <c r="P90" s="12"/>
      <c r="Q90" s="4">
        <f t="shared" si="19"/>
        <v>0</v>
      </c>
      <c r="T90" s="21"/>
    </row>
    <row r="91" spans="1:20" s="23" customFormat="1" ht="45.75" hidden="1" customHeight="1">
      <c r="A91" s="61" t="s">
        <v>239</v>
      </c>
      <c r="B91" s="61" t="s">
        <v>411</v>
      </c>
      <c r="C91" s="61" t="s">
        <v>80</v>
      </c>
      <c r="D91" s="35" t="s">
        <v>244</v>
      </c>
      <c r="E91" s="7"/>
      <c r="F91" s="4">
        <f t="shared" si="17"/>
        <v>0</v>
      </c>
      <c r="G91" s="4"/>
      <c r="H91" s="12"/>
      <c r="I91" s="12"/>
      <c r="J91" s="12"/>
      <c r="K91" s="4">
        <f t="shared" si="18"/>
        <v>0</v>
      </c>
      <c r="L91" s="4"/>
      <c r="M91" s="12"/>
      <c r="N91" s="4"/>
      <c r="O91" s="12"/>
      <c r="P91" s="12"/>
      <c r="Q91" s="4">
        <f t="shared" si="19"/>
        <v>0</v>
      </c>
      <c r="T91" s="21"/>
    </row>
    <row r="92" spans="1:20" s="23" customFormat="1" ht="65.400000000000006" hidden="1" customHeight="1">
      <c r="A92" s="61" t="s">
        <v>240</v>
      </c>
      <c r="B92" s="61" t="s">
        <v>412</v>
      </c>
      <c r="C92" s="61" t="s">
        <v>80</v>
      </c>
      <c r="D92" s="35" t="s">
        <v>245</v>
      </c>
      <c r="E92" s="7"/>
      <c r="F92" s="4">
        <f t="shared" si="17"/>
        <v>0</v>
      </c>
      <c r="G92" s="4"/>
      <c r="H92" s="12"/>
      <c r="I92" s="12"/>
      <c r="J92" s="12"/>
      <c r="K92" s="4">
        <f t="shared" si="18"/>
        <v>0</v>
      </c>
      <c r="L92" s="4"/>
      <c r="M92" s="12"/>
      <c r="N92" s="4"/>
      <c r="O92" s="12"/>
      <c r="P92" s="12"/>
      <c r="Q92" s="4">
        <f t="shared" si="19"/>
        <v>0</v>
      </c>
      <c r="T92" s="21"/>
    </row>
    <row r="93" spans="1:20" s="23" customFormat="1" ht="45.6" hidden="1" customHeight="1">
      <c r="A93" s="61" t="s">
        <v>241</v>
      </c>
      <c r="B93" s="61" t="s">
        <v>413</v>
      </c>
      <c r="C93" s="61" t="s">
        <v>80</v>
      </c>
      <c r="D93" s="35" t="s">
        <v>246</v>
      </c>
      <c r="E93" s="7"/>
      <c r="F93" s="4">
        <f t="shared" si="17"/>
        <v>0</v>
      </c>
      <c r="G93" s="4"/>
      <c r="H93" s="12"/>
      <c r="I93" s="12"/>
      <c r="J93" s="12"/>
      <c r="K93" s="4">
        <f t="shared" si="18"/>
        <v>0</v>
      </c>
      <c r="L93" s="4"/>
      <c r="M93" s="12"/>
      <c r="N93" s="4"/>
      <c r="O93" s="12"/>
      <c r="P93" s="12"/>
      <c r="Q93" s="4">
        <f t="shared" si="19"/>
        <v>0</v>
      </c>
      <c r="T93" s="21"/>
    </row>
    <row r="94" spans="1:20" s="23" customFormat="1" ht="68.25" hidden="1" customHeight="1">
      <c r="A94" s="61" t="s">
        <v>242</v>
      </c>
      <c r="B94" s="61" t="s">
        <v>414</v>
      </c>
      <c r="C94" s="61" t="s">
        <v>80</v>
      </c>
      <c r="D94" s="35" t="s">
        <v>247</v>
      </c>
      <c r="E94" s="7"/>
      <c r="F94" s="4">
        <f t="shared" si="17"/>
        <v>0</v>
      </c>
      <c r="G94" s="4"/>
      <c r="H94" s="12"/>
      <c r="I94" s="12"/>
      <c r="J94" s="12"/>
      <c r="K94" s="4">
        <f t="shared" si="18"/>
        <v>0</v>
      </c>
      <c r="L94" s="4"/>
      <c r="M94" s="12"/>
      <c r="N94" s="4"/>
      <c r="O94" s="12"/>
      <c r="P94" s="12"/>
      <c r="Q94" s="4">
        <f t="shared" si="19"/>
        <v>0</v>
      </c>
      <c r="T94" s="21"/>
    </row>
    <row r="95" spans="1:20" s="23" customFormat="1" ht="81" hidden="1" customHeight="1">
      <c r="A95" s="61" t="s">
        <v>243</v>
      </c>
      <c r="B95" s="61" t="s">
        <v>415</v>
      </c>
      <c r="C95" s="61" t="s">
        <v>80</v>
      </c>
      <c r="D95" s="35" t="s">
        <v>248</v>
      </c>
      <c r="E95" s="7"/>
      <c r="F95" s="4">
        <f t="shared" si="17"/>
        <v>0</v>
      </c>
      <c r="G95" s="4"/>
      <c r="H95" s="12"/>
      <c r="I95" s="12"/>
      <c r="J95" s="12"/>
      <c r="K95" s="4">
        <f t="shared" si="18"/>
        <v>0</v>
      </c>
      <c r="L95" s="4"/>
      <c r="M95" s="12"/>
      <c r="N95" s="4"/>
      <c r="O95" s="12"/>
      <c r="P95" s="12"/>
      <c r="Q95" s="4">
        <f t="shared" si="19"/>
        <v>0</v>
      </c>
      <c r="T95" s="21"/>
    </row>
    <row r="96" spans="1:20" s="23" customFormat="1" ht="43.5" hidden="1" customHeight="1">
      <c r="A96" s="61" t="s">
        <v>327</v>
      </c>
      <c r="B96" s="61" t="s">
        <v>416</v>
      </c>
      <c r="C96" s="61"/>
      <c r="D96" s="35" t="s">
        <v>328</v>
      </c>
      <c r="E96" s="7"/>
      <c r="F96" s="4">
        <f t="shared" si="17"/>
        <v>0</v>
      </c>
      <c r="G96" s="4"/>
      <c r="H96" s="12"/>
      <c r="I96" s="12"/>
      <c r="J96" s="12"/>
      <c r="K96" s="4"/>
      <c r="L96" s="4"/>
      <c r="M96" s="12"/>
      <c r="N96" s="4"/>
      <c r="O96" s="12"/>
      <c r="P96" s="12"/>
      <c r="Q96" s="4">
        <f t="shared" si="19"/>
        <v>0</v>
      </c>
      <c r="T96" s="21"/>
    </row>
    <row r="97" spans="1:20" s="23" customFormat="1" ht="46.2" customHeight="1">
      <c r="A97" s="61" t="s">
        <v>175</v>
      </c>
      <c r="B97" s="61" t="s">
        <v>417</v>
      </c>
      <c r="C97" s="61" t="s">
        <v>77</v>
      </c>
      <c r="D97" s="111" t="s">
        <v>227</v>
      </c>
      <c r="E97" s="7" t="s">
        <v>32</v>
      </c>
      <c r="F97" s="4">
        <f>G97+J97</f>
        <v>73100</v>
      </c>
      <c r="G97" s="4">
        <v>73100</v>
      </c>
      <c r="H97" s="4"/>
      <c r="I97" s="4"/>
      <c r="J97" s="4"/>
      <c r="K97" s="4">
        <f t="shared" si="16"/>
        <v>0</v>
      </c>
      <c r="L97" s="4"/>
      <c r="M97" s="4"/>
      <c r="N97" s="4"/>
      <c r="O97" s="4"/>
      <c r="P97" s="4"/>
      <c r="Q97" s="4">
        <f t="shared" si="15"/>
        <v>73100</v>
      </c>
      <c r="T97" s="21"/>
    </row>
    <row r="98" spans="1:20" s="8" customFormat="1" ht="75.599999999999994" customHeight="1">
      <c r="A98" s="61" t="s">
        <v>177</v>
      </c>
      <c r="B98" s="61" t="s">
        <v>418</v>
      </c>
      <c r="C98" s="61" t="s">
        <v>81</v>
      </c>
      <c r="D98" s="111" t="s">
        <v>106</v>
      </c>
      <c r="E98" s="7" t="s">
        <v>56</v>
      </c>
      <c r="F98" s="4">
        <f t="shared" ref="F98:F104" si="20">G98+J98</f>
        <v>7195410</v>
      </c>
      <c r="G98" s="4">
        <f>5672500+54100+85500+342110+990000+51200</f>
        <v>7195410</v>
      </c>
      <c r="H98" s="12">
        <f>4657417+810000</f>
        <v>5467417</v>
      </c>
      <c r="I98" s="12">
        <v>212600</v>
      </c>
      <c r="J98" s="12"/>
      <c r="K98" s="4">
        <f t="shared" ref="K98:K110" si="21">M98+P98</f>
        <v>158000</v>
      </c>
      <c r="L98" s="4">
        <v>13000</v>
      </c>
      <c r="M98" s="12">
        <v>145000</v>
      </c>
      <c r="N98" s="4">
        <v>96700</v>
      </c>
      <c r="O98" s="12"/>
      <c r="P98" s="12">
        <f>L98</f>
        <v>13000</v>
      </c>
      <c r="Q98" s="4">
        <f t="shared" ref="Q98:Q110" si="22">F98+K98</f>
        <v>7353410</v>
      </c>
      <c r="T98" s="19"/>
    </row>
    <row r="99" spans="1:20" s="8" customFormat="1" ht="36" customHeight="1">
      <c r="A99" s="61" t="s">
        <v>178</v>
      </c>
      <c r="B99" s="61" t="s">
        <v>419</v>
      </c>
      <c r="C99" s="61" t="s">
        <v>80</v>
      </c>
      <c r="D99" s="111" t="s">
        <v>228</v>
      </c>
      <c r="E99" s="6" t="s">
        <v>27</v>
      </c>
      <c r="F99" s="4">
        <f t="shared" si="20"/>
        <v>1580300</v>
      </c>
      <c r="G99" s="4">
        <f>1420300+160000</f>
        <v>1580300</v>
      </c>
      <c r="H99" s="12">
        <f>987000+135000</f>
        <v>1122000</v>
      </c>
      <c r="I99" s="12">
        <v>170600</v>
      </c>
      <c r="J99" s="12"/>
      <c r="K99" s="4">
        <f t="shared" si="21"/>
        <v>0</v>
      </c>
      <c r="L99" s="4"/>
      <c r="M99" s="12"/>
      <c r="N99" s="4"/>
      <c r="O99" s="12"/>
      <c r="P99" s="12"/>
      <c r="Q99" s="4">
        <f t="shared" si="22"/>
        <v>1580300</v>
      </c>
      <c r="T99" s="19"/>
    </row>
    <row r="100" spans="1:20" s="8" customFormat="1" ht="114.6" customHeight="1">
      <c r="A100" s="61" t="s">
        <v>257</v>
      </c>
      <c r="B100" s="61" t="s">
        <v>420</v>
      </c>
      <c r="C100" s="61" t="s">
        <v>80</v>
      </c>
      <c r="D100" s="116" t="s">
        <v>258</v>
      </c>
      <c r="E100" s="6"/>
      <c r="F100" s="4">
        <f t="shared" si="20"/>
        <v>345000</v>
      </c>
      <c r="G100" s="4">
        <v>345000</v>
      </c>
      <c r="H100" s="12"/>
      <c r="I100" s="12"/>
      <c r="J100" s="12"/>
      <c r="K100" s="4">
        <f t="shared" si="21"/>
        <v>0</v>
      </c>
      <c r="L100" s="4"/>
      <c r="M100" s="12"/>
      <c r="N100" s="4"/>
      <c r="O100" s="12"/>
      <c r="P100" s="12"/>
      <c r="Q100" s="4">
        <f t="shared" si="22"/>
        <v>345000</v>
      </c>
      <c r="T100" s="19"/>
    </row>
    <row r="101" spans="1:20" s="8" customFormat="1" ht="125.25" customHeight="1">
      <c r="A101" s="61" t="s">
        <v>229</v>
      </c>
      <c r="B101" s="61" t="s">
        <v>421</v>
      </c>
      <c r="C101" s="61" t="s">
        <v>79</v>
      </c>
      <c r="D101" s="111" t="s">
        <v>230</v>
      </c>
      <c r="E101" s="7" t="s">
        <v>3</v>
      </c>
      <c r="F101" s="4">
        <f t="shared" si="20"/>
        <v>163000</v>
      </c>
      <c r="G101" s="4">
        <f>112000+51000</f>
        <v>163000</v>
      </c>
      <c r="H101" s="12"/>
      <c r="I101" s="12"/>
      <c r="J101" s="12"/>
      <c r="K101" s="4">
        <f t="shared" si="21"/>
        <v>0</v>
      </c>
      <c r="L101" s="4"/>
      <c r="M101" s="12"/>
      <c r="N101" s="4"/>
      <c r="O101" s="12"/>
      <c r="P101" s="12"/>
      <c r="Q101" s="4">
        <f t="shared" si="22"/>
        <v>163000</v>
      </c>
      <c r="T101" s="19"/>
    </row>
    <row r="102" spans="1:20" s="8" customFormat="1" ht="71.400000000000006" customHeight="1">
      <c r="A102" s="61" t="s">
        <v>231</v>
      </c>
      <c r="B102" s="61" t="s">
        <v>422</v>
      </c>
      <c r="C102" s="61" t="s">
        <v>77</v>
      </c>
      <c r="D102" s="111" t="s">
        <v>232</v>
      </c>
      <c r="E102" s="7" t="s">
        <v>52</v>
      </c>
      <c r="F102" s="4">
        <f t="shared" si="20"/>
        <v>122000</v>
      </c>
      <c r="G102" s="4">
        <f>80000+42000</f>
        <v>122000</v>
      </c>
      <c r="H102" s="12"/>
      <c r="I102" s="12"/>
      <c r="J102" s="12"/>
      <c r="K102" s="4">
        <f t="shared" si="21"/>
        <v>0</v>
      </c>
      <c r="L102" s="4"/>
      <c r="M102" s="12"/>
      <c r="N102" s="4"/>
      <c r="O102" s="12"/>
      <c r="P102" s="12"/>
      <c r="Q102" s="4">
        <f t="shared" si="22"/>
        <v>122000</v>
      </c>
      <c r="T102" s="19"/>
    </row>
    <row r="103" spans="1:20" s="8" customFormat="1" ht="33.6" customHeight="1">
      <c r="A103" s="61" t="s">
        <v>311</v>
      </c>
      <c r="B103" s="61" t="s">
        <v>423</v>
      </c>
      <c r="C103" s="61" t="s">
        <v>310</v>
      </c>
      <c r="D103" s="111" t="s">
        <v>309</v>
      </c>
      <c r="E103" s="7"/>
      <c r="F103" s="4">
        <f t="shared" si="20"/>
        <v>65000</v>
      </c>
      <c r="G103" s="4">
        <v>65000</v>
      </c>
      <c r="H103" s="12">
        <v>53280</v>
      </c>
      <c r="I103" s="12"/>
      <c r="J103" s="12"/>
      <c r="K103" s="4">
        <f t="shared" si="21"/>
        <v>0</v>
      </c>
      <c r="L103" s="4"/>
      <c r="M103" s="12"/>
      <c r="N103" s="4"/>
      <c r="O103" s="12"/>
      <c r="P103" s="12"/>
      <c r="Q103" s="4">
        <f t="shared" si="22"/>
        <v>65000</v>
      </c>
      <c r="T103" s="19"/>
    </row>
    <row r="104" spans="1:20" s="8" customFormat="1" ht="175.2" hidden="1" customHeight="1">
      <c r="A104" s="66" t="s">
        <v>176</v>
      </c>
      <c r="B104" s="61" t="s">
        <v>424</v>
      </c>
      <c r="C104" s="61" t="s">
        <v>66</v>
      </c>
      <c r="D104" s="117" t="s">
        <v>298</v>
      </c>
      <c r="E104" s="7" t="s">
        <v>53</v>
      </c>
      <c r="F104" s="4">
        <f t="shared" si="20"/>
        <v>0</v>
      </c>
      <c r="G104" s="11"/>
      <c r="H104" s="4"/>
      <c r="I104" s="4"/>
      <c r="J104" s="4"/>
      <c r="K104" s="4">
        <f t="shared" si="21"/>
        <v>0</v>
      </c>
      <c r="L104" s="4"/>
      <c r="M104" s="4"/>
      <c r="N104" s="4"/>
      <c r="O104" s="4"/>
      <c r="P104" s="4"/>
      <c r="Q104" s="4">
        <f t="shared" si="22"/>
        <v>0</v>
      </c>
      <c r="T104" s="19"/>
    </row>
    <row r="105" spans="1:20" s="8" customFormat="1" ht="33.6" hidden="1" customHeight="1">
      <c r="A105" s="61" t="s">
        <v>250</v>
      </c>
      <c r="B105" s="61" t="s">
        <v>372</v>
      </c>
      <c r="C105" s="61" t="s">
        <v>65</v>
      </c>
      <c r="D105" s="110" t="s">
        <v>224</v>
      </c>
      <c r="E105" s="7"/>
      <c r="F105" s="4">
        <f>G105</f>
        <v>0</v>
      </c>
      <c r="G105" s="4"/>
      <c r="H105" s="12"/>
      <c r="I105" s="12"/>
      <c r="J105" s="12"/>
      <c r="K105" s="4">
        <f t="shared" si="21"/>
        <v>0</v>
      </c>
      <c r="L105" s="4"/>
      <c r="M105" s="12"/>
      <c r="N105" s="4"/>
      <c r="O105" s="12"/>
      <c r="P105" s="12"/>
      <c r="Q105" s="4">
        <f t="shared" si="22"/>
        <v>0</v>
      </c>
      <c r="T105" s="19"/>
    </row>
    <row r="106" spans="1:20" s="8" customFormat="1" ht="95.25" hidden="1" customHeight="1">
      <c r="A106" s="61" t="s">
        <v>339</v>
      </c>
      <c r="B106" s="61" t="s">
        <v>374</v>
      </c>
      <c r="C106" s="61" t="s">
        <v>316</v>
      </c>
      <c r="D106" s="110" t="s">
        <v>340</v>
      </c>
      <c r="E106" s="7"/>
      <c r="F106" s="4">
        <f>G106</f>
        <v>0</v>
      </c>
      <c r="G106" s="4"/>
      <c r="H106" s="12"/>
      <c r="I106" s="12"/>
      <c r="J106" s="12"/>
      <c r="K106" s="4">
        <f t="shared" si="21"/>
        <v>0</v>
      </c>
      <c r="L106" s="4"/>
      <c r="M106" s="12"/>
      <c r="N106" s="4"/>
      <c r="O106" s="12"/>
      <c r="P106" s="12">
        <f>L106</f>
        <v>0</v>
      </c>
      <c r="Q106" s="4">
        <f t="shared" si="22"/>
        <v>0</v>
      </c>
      <c r="T106" s="19"/>
    </row>
    <row r="107" spans="1:20" s="8" customFormat="1" ht="42" customHeight="1">
      <c r="A107" s="61" t="s">
        <v>250</v>
      </c>
      <c r="B107" s="61" t="s">
        <v>372</v>
      </c>
      <c r="C107" s="61" t="s">
        <v>65</v>
      </c>
      <c r="D107" s="110" t="s">
        <v>224</v>
      </c>
      <c r="E107" s="13"/>
      <c r="F107" s="4">
        <f>G107+J107</f>
        <v>100000</v>
      </c>
      <c r="G107" s="45">
        <v>100000</v>
      </c>
      <c r="H107" s="46"/>
      <c r="I107" s="46"/>
      <c r="J107" s="46"/>
      <c r="K107" s="4"/>
      <c r="L107" s="45"/>
      <c r="M107" s="46"/>
      <c r="N107" s="45"/>
      <c r="O107" s="46"/>
      <c r="P107" s="46"/>
      <c r="Q107" s="4"/>
      <c r="T107" s="19"/>
    </row>
    <row r="108" spans="1:20" s="8" customFormat="1" ht="50.25" customHeight="1">
      <c r="A108" s="61" t="s">
        <v>509</v>
      </c>
      <c r="B108" s="61" t="s">
        <v>510</v>
      </c>
      <c r="C108" s="61" t="s">
        <v>82</v>
      </c>
      <c r="D108" s="110" t="s">
        <v>511</v>
      </c>
      <c r="E108" s="13"/>
      <c r="F108" s="4"/>
      <c r="G108" s="45"/>
      <c r="H108" s="46"/>
      <c r="I108" s="46"/>
      <c r="J108" s="46"/>
      <c r="K108" s="4">
        <f t="shared" si="21"/>
        <v>126000</v>
      </c>
      <c r="L108" s="45">
        <f>126000</f>
        <v>126000</v>
      </c>
      <c r="M108" s="46"/>
      <c r="N108" s="45"/>
      <c r="O108" s="46"/>
      <c r="P108" s="46">
        <v>126000</v>
      </c>
      <c r="Q108" s="4">
        <f t="shared" si="22"/>
        <v>126000</v>
      </c>
      <c r="T108" s="19"/>
    </row>
    <row r="109" spans="1:20" s="8" customFormat="1" ht="44.4" customHeight="1">
      <c r="A109" s="61" t="s">
        <v>471</v>
      </c>
      <c r="B109" s="61" t="s">
        <v>463</v>
      </c>
      <c r="C109" s="61" t="s">
        <v>464</v>
      </c>
      <c r="D109" s="111" t="s">
        <v>465</v>
      </c>
      <c r="E109" s="13"/>
      <c r="F109" s="4">
        <f>G109+J109</f>
        <v>85350</v>
      </c>
      <c r="G109" s="45">
        <v>85350</v>
      </c>
      <c r="H109" s="46"/>
      <c r="I109" s="46"/>
      <c r="J109" s="46"/>
      <c r="K109" s="4">
        <f t="shared" si="21"/>
        <v>12300</v>
      </c>
      <c r="L109" s="45">
        <v>12300</v>
      </c>
      <c r="M109" s="45"/>
      <c r="N109" s="45"/>
      <c r="O109" s="46"/>
      <c r="P109" s="46">
        <v>12300</v>
      </c>
      <c r="Q109" s="4">
        <f>F109+K109</f>
        <v>97650</v>
      </c>
      <c r="T109" s="19"/>
    </row>
    <row r="110" spans="1:20" s="8" customFormat="1" ht="30" hidden="1" customHeight="1">
      <c r="A110" s="61" t="s">
        <v>325</v>
      </c>
      <c r="B110" s="61" t="s">
        <v>378</v>
      </c>
      <c r="C110" s="61" t="s">
        <v>85</v>
      </c>
      <c r="D110" s="34" t="s">
        <v>140</v>
      </c>
      <c r="E110" s="7"/>
      <c r="F110" s="4">
        <f>G110</f>
        <v>0</v>
      </c>
      <c r="G110" s="4"/>
      <c r="H110" s="12"/>
      <c r="I110" s="12"/>
      <c r="J110" s="12"/>
      <c r="K110" s="4">
        <f t="shared" si="21"/>
        <v>0</v>
      </c>
      <c r="L110" s="4"/>
      <c r="M110" s="12"/>
      <c r="N110" s="4"/>
      <c r="O110" s="12"/>
      <c r="P110" s="12"/>
      <c r="Q110" s="4">
        <f t="shared" si="22"/>
        <v>0</v>
      </c>
      <c r="T110" s="19"/>
    </row>
    <row r="111" spans="1:20" s="86" customFormat="1" ht="47.4" customHeight="1">
      <c r="A111" s="69" t="s">
        <v>86</v>
      </c>
      <c r="B111" s="69" t="s">
        <v>86</v>
      </c>
      <c r="C111" s="83"/>
      <c r="D111" s="79" t="s">
        <v>35</v>
      </c>
      <c r="E111" s="78" t="s">
        <v>35</v>
      </c>
      <c r="F111" s="72">
        <f>F112</f>
        <v>28521894</v>
      </c>
      <c r="G111" s="72">
        <f t="shared" ref="G111:P111" si="23">G112</f>
        <v>28521894</v>
      </c>
      <c r="H111" s="73">
        <f t="shared" si="23"/>
        <v>18177200</v>
      </c>
      <c r="I111" s="73">
        <f t="shared" si="23"/>
        <v>1908454</v>
      </c>
      <c r="J111" s="73">
        <f t="shared" si="23"/>
        <v>0</v>
      </c>
      <c r="K111" s="72">
        <f t="shared" si="23"/>
        <v>1494700</v>
      </c>
      <c r="L111" s="72">
        <f t="shared" si="23"/>
        <v>853700</v>
      </c>
      <c r="M111" s="73">
        <f t="shared" si="23"/>
        <v>641000</v>
      </c>
      <c r="N111" s="73">
        <f t="shared" si="23"/>
        <v>138500</v>
      </c>
      <c r="O111" s="73">
        <f t="shared" si="23"/>
        <v>0</v>
      </c>
      <c r="P111" s="73">
        <f t="shared" si="23"/>
        <v>853700</v>
      </c>
      <c r="Q111" s="73">
        <f>Q112</f>
        <v>30016594</v>
      </c>
      <c r="R111" s="85"/>
      <c r="T111" s="87"/>
    </row>
    <row r="112" spans="1:20" s="86" customFormat="1" ht="43.95" customHeight="1">
      <c r="A112" s="74" t="s">
        <v>143</v>
      </c>
      <c r="B112" s="74" t="s">
        <v>425</v>
      </c>
      <c r="C112" s="84"/>
      <c r="D112" s="81" t="str">
        <f>D111</f>
        <v>Управління культури і туризму міської ради</v>
      </c>
      <c r="E112" s="80"/>
      <c r="F112" s="82">
        <f>SUM(F113:F122)</f>
        <v>28521894</v>
      </c>
      <c r="G112" s="82">
        <f t="shared" ref="G112:P112" si="24">SUM(G113:G122)</f>
        <v>28521894</v>
      </c>
      <c r="H112" s="82">
        <f t="shared" si="24"/>
        <v>18177200</v>
      </c>
      <c r="I112" s="82">
        <f t="shared" si="24"/>
        <v>1908454</v>
      </c>
      <c r="J112" s="82">
        <f t="shared" si="24"/>
        <v>0</v>
      </c>
      <c r="K112" s="82">
        <f t="shared" si="24"/>
        <v>1494700</v>
      </c>
      <c r="L112" s="82">
        <f t="shared" si="24"/>
        <v>853700</v>
      </c>
      <c r="M112" s="82">
        <f t="shared" si="24"/>
        <v>641000</v>
      </c>
      <c r="N112" s="82">
        <f t="shared" si="24"/>
        <v>138500</v>
      </c>
      <c r="O112" s="82">
        <f t="shared" si="24"/>
        <v>0</v>
      </c>
      <c r="P112" s="82">
        <f t="shared" si="24"/>
        <v>853700</v>
      </c>
      <c r="Q112" s="77">
        <f t="shared" ref="Q112:Q134" si="25">F112+K112</f>
        <v>30016594</v>
      </c>
      <c r="T112" s="87"/>
    </row>
    <row r="113" spans="1:20" s="23" customFormat="1" ht="85.5" customHeight="1">
      <c r="A113" s="61" t="s">
        <v>181</v>
      </c>
      <c r="B113" s="61" t="s">
        <v>356</v>
      </c>
      <c r="C113" s="61" t="s">
        <v>60</v>
      </c>
      <c r="D113" s="109" t="s">
        <v>306</v>
      </c>
      <c r="E113" s="7" t="s">
        <v>2</v>
      </c>
      <c r="F113" s="4">
        <f t="shared" ref="F113:F122" si="26">G113+J113</f>
        <v>1379965</v>
      </c>
      <c r="G113" s="4">
        <f>1532700-100000-50000-4735+2000</f>
        <v>1379965</v>
      </c>
      <c r="H113" s="12">
        <f>1217000-82000-41000</f>
        <v>1094000</v>
      </c>
      <c r="I113" s="12">
        <f>24400-4735</f>
        <v>19665</v>
      </c>
      <c r="J113" s="12"/>
      <c r="K113" s="4">
        <f t="shared" ref="K113:K122" si="27">M113+P113</f>
        <v>0</v>
      </c>
      <c r="L113" s="4"/>
      <c r="M113" s="12"/>
      <c r="N113" s="4"/>
      <c r="O113" s="12"/>
      <c r="P113" s="12">
        <f>L113</f>
        <v>0</v>
      </c>
      <c r="Q113" s="4">
        <f t="shared" si="25"/>
        <v>1379965</v>
      </c>
      <c r="T113" s="21"/>
    </row>
    <row r="114" spans="1:20" s="23" customFormat="1" ht="35.25" customHeight="1">
      <c r="A114" s="61" t="s">
        <v>251</v>
      </c>
      <c r="B114" s="61" t="s">
        <v>279</v>
      </c>
      <c r="C114" s="61" t="s">
        <v>71</v>
      </c>
      <c r="D114" s="109" t="s">
        <v>138</v>
      </c>
      <c r="E114" s="7"/>
      <c r="F114" s="4">
        <f t="shared" si="26"/>
        <v>25000</v>
      </c>
      <c r="G114" s="4">
        <f>20000+5000</f>
        <v>25000</v>
      </c>
      <c r="H114" s="12"/>
      <c r="I114" s="12"/>
      <c r="J114" s="12"/>
      <c r="K114" s="4">
        <f t="shared" si="27"/>
        <v>0</v>
      </c>
      <c r="L114" s="4"/>
      <c r="M114" s="12"/>
      <c r="N114" s="4"/>
      <c r="O114" s="12"/>
      <c r="P114" s="12"/>
      <c r="Q114" s="4">
        <f t="shared" si="25"/>
        <v>25000</v>
      </c>
      <c r="T114" s="21"/>
    </row>
    <row r="115" spans="1:20" s="23" customFormat="1" ht="37.950000000000003" customHeight="1">
      <c r="A115" s="61" t="s">
        <v>188</v>
      </c>
      <c r="B115" s="61" t="s">
        <v>426</v>
      </c>
      <c r="C115" s="61" t="s">
        <v>74</v>
      </c>
      <c r="D115" s="111" t="s">
        <v>483</v>
      </c>
      <c r="E115" s="7" t="s">
        <v>12</v>
      </c>
      <c r="F115" s="4">
        <f>G115+J115</f>
        <v>14186598</v>
      </c>
      <c r="G115" s="4">
        <f>12104950+865000+44348+70000+12300-13838+13838+1090000</f>
        <v>14186598</v>
      </c>
      <c r="H115" s="44">
        <f>9865950+10300+910000</f>
        <v>10786250</v>
      </c>
      <c r="I115" s="12">
        <f>902900-13838</f>
        <v>889062</v>
      </c>
      <c r="J115" s="12"/>
      <c r="K115" s="4">
        <f>M115+P115</f>
        <v>616000</v>
      </c>
      <c r="L115" s="4">
        <v>106000</v>
      </c>
      <c r="M115" s="12">
        <v>510000</v>
      </c>
      <c r="N115" s="4">
        <v>118000</v>
      </c>
      <c r="O115" s="12"/>
      <c r="P115" s="12">
        <v>106000</v>
      </c>
      <c r="Q115" s="4">
        <f>F115+K115</f>
        <v>14802598</v>
      </c>
      <c r="T115" s="21"/>
    </row>
    <row r="116" spans="1:20" s="23" customFormat="1" ht="33" customHeight="1">
      <c r="A116" s="61" t="s">
        <v>182</v>
      </c>
      <c r="B116" s="61" t="s">
        <v>427</v>
      </c>
      <c r="C116" s="61" t="s">
        <v>107</v>
      </c>
      <c r="D116" s="111" t="s">
        <v>183</v>
      </c>
      <c r="E116" s="7" t="s">
        <v>9</v>
      </c>
      <c r="F116" s="4">
        <f t="shared" si="26"/>
        <v>3477500</v>
      </c>
      <c r="G116" s="4">
        <f>3048700+220000+3200+5600+200000</f>
        <v>3477500</v>
      </c>
      <c r="H116" s="12">
        <f>2281000+173000</f>
        <v>2454000</v>
      </c>
      <c r="I116" s="12">
        <f>442600-8833</f>
        <v>433767</v>
      </c>
      <c r="J116" s="12"/>
      <c r="K116" s="4">
        <f t="shared" si="27"/>
        <v>51000</v>
      </c>
      <c r="L116" s="4">
        <v>35000</v>
      </c>
      <c r="M116" s="4">
        <v>16000</v>
      </c>
      <c r="N116" s="12"/>
      <c r="O116" s="12"/>
      <c r="P116" s="12">
        <v>35000</v>
      </c>
      <c r="Q116" s="4">
        <f t="shared" si="25"/>
        <v>3528500</v>
      </c>
      <c r="T116" s="21"/>
    </row>
    <row r="117" spans="1:20" s="23" customFormat="1" ht="38.25" customHeight="1">
      <c r="A117" s="61" t="s">
        <v>184</v>
      </c>
      <c r="B117" s="61" t="s">
        <v>428</v>
      </c>
      <c r="C117" s="61" t="s">
        <v>107</v>
      </c>
      <c r="D117" s="111" t="s">
        <v>185</v>
      </c>
      <c r="E117" s="7" t="s">
        <v>10</v>
      </c>
      <c r="F117" s="4">
        <f t="shared" si="26"/>
        <v>4952791</v>
      </c>
      <c r="G117" s="4">
        <f>2784200+160000+14100+15000+24141+913000+923000+20200+13150+11000+75000</f>
        <v>4952791</v>
      </c>
      <c r="H117" s="12">
        <f>1744800+63000</f>
        <v>1807800</v>
      </c>
      <c r="I117" s="12">
        <f>263000-5240</f>
        <v>257760</v>
      </c>
      <c r="J117" s="12"/>
      <c r="K117" s="4">
        <f t="shared" si="27"/>
        <v>185000</v>
      </c>
      <c r="L117" s="4">
        <f>15000+37000+63000</f>
        <v>115000</v>
      </c>
      <c r="M117" s="4">
        <v>70000</v>
      </c>
      <c r="N117" s="12">
        <v>18000</v>
      </c>
      <c r="O117" s="12"/>
      <c r="P117" s="12">
        <f>15000+37000+63000</f>
        <v>115000</v>
      </c>
      <c r="Q117" s="4">
        <f t="shared" si="25"/>
        <v>5137791</v>
      </c>
      <c r="T117" s="21"/>
    </row>
    <row r="118" spans="1:20" s="23" customFormat="1" ht="52.2" customHeight="1">
      <c r="A118" s="61" t="s">
        <v>187</v>
      </c>
      <c r="B118" s="61" t="s">
        <v>429</v>
      </c>
      <c r="C118" s="61" t="s">
        <v>84</v>
      </c>
      <c r="D118" s="111" t="s">
        <v>186</v>
      </c>
      <c r="E118" s="7" t="s">
        <v>11</v>
      </c>
      <c r="F118" s="4">
        <f t="shared" si="26"/>
        <v>2531705</v>
      </c>
      <c r="G118" s="4">
        <f>1898900+80000+191700+75000+92800+48000+35395+109910</f>
        <v>2531705</v>
      </c>
      <c r="H118" s="12">
        <v>1372000</v>
      </c>
      <c r="I118" s="12">
        <v>288200</v>
      </c>
      <c r="J118" s="12"/>
      <c r="K118" s="4">
        <f t="shared" si="27"/>
        <v>71000</v>
      </c>
      <c r="L118" s="4">
        <v>26000</v>
      </c>
      <c r="M118" s="4">
        <v>45000</v>
      </c>
      <c r="N118" s="12">
        <v>2500</v>
      </c>
      <c r="O118" s="12"/>
      <c r="P118" s="12">
        <f>380000-380000+26000</f>
        <v>26000</v>
      </c>
      <c r="Q118" s="4">
        <f t="shared" si="25"/>
        <v>2602705</v>
      </c>
      <c r="T118" s="21"/>
    </row>
    <row r="119" spans="1:20" s="23" customFormat="1" ht="36.6" customHeight="1">
      <c r="A119" s="61" t="s">
        <v>233</v>
      </c>
      <c r="B119" s="61" t="s">
        <v>430</v>
      </c>
      <c r="C119" s="61" t="s">
        <v>83</v>
      </c>
      <c r="D119" s="111" t="s">
        <v>234</v>
      </c>
      <c r="E119" s="7"/>
      <c r="F119" s="4">
        <f t="shared" si="26"/>
        <v>855950</v>
      </c>
      <c r="G119" s="4">
        <f>668950+37000+100000+50000</f>
        <v>855950</v>
      </c>
      <c r="H119" s="12">
        <f>541150+81000+41000</f>
        <v>663150</v>
      </c>
      <c r="I119" s="12">
        <v>20000</v>
      </c>
      <c r="J119" s="12"/>
      <c r="K119" s="4">
        <f t="shared" si="27"/>
        <v>0</v>
      </c>
      <c r="L119" s="4"/>
      <c r="M119" s="12"/>
      <c r="N119" s="4"/>
      <c r="O119" s="12"/>
      <c r="P119" s="12"/>
      <c r="Q119" s="4">
        <f t="shared" si="25"/>
        <v>855950</v>
      </c>
      <c r="T119" s="21"/>
    </row>
    <row r="120" spans="1:20" s="23" customFormat="1" ht="35.4" customHeight="1">
      <c r="A120" s="61" t="s">
        <v>235</v>
      </c>
      <c r="B120" s="61" t="s">
        <v>431</v>
      </c>
      <c r="C120" s="61" t="s">
        <v>83</v>
      </c>
      <c r="D120" s="111" t="s">
        <v>236</v>
      </c>
      <c r="E120" s="7"/>
      <c r="F120" s="4">
        <f t="shared" si="26"/>
        <v>989450</v>
      </c>
      <c r="G120" s="4">
        <f>1200000+102000+200000+23600-145000-156150-224000-11000</f>
        <v>989450</v>
      </c>
      <c r="H120" s="12"/>
      <c r="I120" s="12"/>
      <c r="J120" s="12"/>
      <c r="K120" s="4">
        <f t="shared" si="27"/>
        <v>510200</v>
      </c>
      <c r="L120" s="4">
        <f>67000+195000+24200+224000</f>
        <v>510200</v>
      </c>
      <c r="M120" s="12"/>
      <c r="N120" s="4"/>
      <c r="O120" s="12"/>
      <c r="P120" s="12">
        <f>L120</f>
        <v>510200</v>
      </c>
      <c r="Q120" s="4">
        <f t="shared" si="25"/>
        <v>1499650</v>
      </c>
      <c r="T120" s="21"/>
    </row>
    <row r="121" spans="1:20" s="23" customFormat="1" ht="63.75" hidden="1" customHeight="1">
      <c r="A121" s="61" t="s">
        <v>322</v>
      </c>
      <c r="B121" s="61" t="s">
        <v>376</v>
      </c>
      <c r="C121" s="61" t="s">
        <v>209</v>
      </c>
      <c r="D121" s="111" t="s">
        <v>352</v>
      </c>
      <c r="E121" s="7"/>
      <c r="F121" s="4">
        <f t="shared" si="26"/>
        <v>0</v>
      </c>
      <c r="G121" s="4"/>
      <c r="H121" s="12"/>
      <c r="I121" s="12"/>
      <c r="J121" s="12"/>
      <c r="K121" s="4">
        <f>M121+P121</f>
        <v>0</v>
      </c>
      <c r="L121" s="4"/>
      <c r="M121" s="12"/>
      <c r="N121" s="4"/>
      <c r="O121" s="12"/>
      <c r="P121" s="12">
        <f>L121</f>
        <v>0</v>
      </c>
      <c r="Q121" s="4">
        <f>F121+K121</f>
        <v>0</v>
      </c>
      <c r="T121" s="21"/>
    </row>
    <row r="122" spans="1:20" s="8" customFormat="1" ht="44.4" customHeight="1">
      <c r="A122" s="61" t="s">
        <v>472</v>
      </c>
      <c r="B122" s="61" t="s">
        <v>463</v>
      </c>
      <c r="C122" s="61" t="s">
        <v>464</v>
      </c>
      <c r="D122" s="111" t="s">
        <v>465</v>
      </c>
      <c r="E122" s="13"/>
      <c r="F122" s="4">
        <f t="shared" si="26"/>
        <v>122935</v>
      </c>
      <c r="G122" s="45">
        <f>120200+2735</f>
        <v>122935</v>
      </c>
      <c r="H122" s="46"/>
      <c r="I122" s="46"/>
      <c r="J122" s="46"/>
      <c r="K122" s="4">
        <f t="shared" si="27"/>
        <v>61500</v>
      </c>
      <c r="L122" s="45">
        <v>61500</v>
      </c>
      <c r="M122" s="45"/>
      <c r="N122" s="45"/>
      <c r="O122" s="46"/>
      <c r="P122" s="46">
        <v>61500</v>
      </c>
      <c r="Q122" s="4">
        <f>F122+K122</f>
        <v>184435</v>
      </c>
      <c r="T122" s="19"/>
    </row>
    <row r="123" spans="1:20" s="23" customFormat="1" ht="47.25" customHeight="1">
      <c r="A123" s="69" t="s">
        <v>151</v>
      </c>
      <c r="B123" s="69" t="s">
        <v>151</v>
      </c>
      <c r="C123" s="83"/>
      <c r="D123" s="79" t="s">
        <v>41</v>
      </c>
      <c r="E123" s="88"/>
      <c r="F123" s="72">
        <f>F124</f>
        <v>9430456.4100000001</v>
      </c>
      <c r="G123" s="72">
        <f t="shared" ref="G123:P123" si="28">G124</f>
        <v>9430456.4100000001</v>
      </c>
      <c r="H123" s="73">
        <f t="shared" si="28"/>
        <v>4389800</v>
      </c>
      <c r="I123" s="100">
        <f t="shared" si="28"/>
        <v>579516.14</v>
      </c>
      <c r="J123" s="73">
        <f t="shared" si="28"/>
        <v>0</v>
      </c>
      <c r="K123" s="72">
        <f t="shared" si="28"/>
        <v>901352</v>
      </c>
      <c r="L123" s="72">
        <f t="shared" si="28"/>
        <v>825052</v>
      </c>
      <c r="M123" s="73">
        <f t="shared" si="28"/>
        <v>76300</v>
      </c>
      <c r="N123" s="73">
        <f t="shared" si="28"/>
        <v>49200</v>
      </c>
      <c r="O123" s="73">
        <f t="shared" si="28"/>
        <v>0</v>
      </c>
      <c r="P123" s="73">
        <f t="shared" si="28"/>
        <v>825052</v>
      </c>
      <c r="Q123" s="72">
        <f t="shared" si="25"/>
        <v>10331808.41</v>
      </c>
      <c r="R123" s="56"/>
      <c r="T123" s="21"/>
    </row>
    <row r="124" spans="1:20" s="23" customFormat="1" ht="39" customHeight="1">
      <c r="A124" s="74" t="s">
        <v>152</v>
      </c>
      <c r="B124" s="74" t="s">
        <v>152</v>
      </c>
      <c r="C124" s="84"/>
      <c r="D124" s="81" t="str">
        <f>D123</f>
        <v>Відділ з питань фізичної культури та спорту Ніжинської міської ради</v>
      </c>
      <c r="E124" s="89"/>
      <c r="F124" s="82">
        <f>SUM(F125:F133)</f>
        <v>9430456.4100000001</v>
      </c>
      <c r="G124" s="82">
        <f>SUM(G125:G133)</f>
        <v>9430456.4100000001</v>
      </c>
      <c r="H124" s="82">
        <f t="shared" ref="H124:P124" si="29">SUM(H125:H133)</f>
        <v>4389800</v>
      </c>
      <c r="I124" s="82">
        <f t="shared" si="29"/>
        <v>579516.14</v>
      </c>
      <c r="J124" s="82">
        <f t="shared" si="29"/>
        <v>0</v>
      </c>
      <c r="K124" s="82">
        <f t="shared" si="29"/>
        <v>901352</v>
      </c>
      <c r="L124" s="82">
        <f t="shared" si="29"/>
        <v>825052</v>
      </c>
      <c r="M124" s="82">
        <f t="shared" si="29"/>
        <v>76300</v>
      </c>
      <c r="N124" s="82">
        <f t="shared" si="29"/>
        <v>49200</v>
      </c>
      <c r="O124" s="82">
        <f t="shared" si="29"/>
        <v>0</v>
      </c>
      <c r="P124" s="82">
        <f t="shared" si="29"/>
        <v>825052</v>
      </c>
      <c r="Q124" s="82">
        <f t="shared" si="25"/>
        <v>10331808.41</v>
      </c>
      <c r="T124" s="21"/>
    </row>
    <row r="125" spans="1:20" s="23" customFormat="1" ht="55.2" customHeight="1">
      <c r="A125" s="61" t="s">
        <v>153</v>
      </c>
      <c r="B125" s="61" t="s">
        <v>356</v>
      </c>
      <c r="C125" s="61" t="s">
        <v>60</v>
      </c>
      <c r="D125" s="109" t="s">
        <v>306</v>
      </c>
      <c r="E125" s="7"/>
      <c r="F125" s="4">
        <f t="shared" ref="F125:F133" si="30">G125+J125</f>
        <v>987400</v>
      </c>
      <c r="G125" s="4">
        <f>898300+42000+8900+9200+29000</f>
        <v>987400</v>
      </c>
      <c r="H125" s="12">
        <f>750700+25000</f>
        <v>775700</v>
      </c>
      <c r="I125" s="12">
        <f>20100</f>
        <v>20100</v>
      </c>
      <c r="J125" s="12"/>
      <c r="K125" s="4">
        <f>M125+P125</f>
        <v>51500</v>
      </c>
      <c r="L125" s="4">
        <f>25000+26500</f>
        <v>51500</v>
      </c>
      <c r="M125" s="12"/>
      <c r="N125" s="4"/>
      <c r="O125" s="12"/>
      <c r="P125" s="12">
        <f>L125</f>
        <v>51500</v>
      </c>
      <c r="Q125" s="4">
        <f t="shared" si="25"/>
        <v>1038900</v>
      </c>
      <c r="T125" s="21"/>
    </row>
    <row r="126" spans="1:20" s="23" customFormat="1" ht="39.75" customHeight="1">
      <c r="A126" s="61" t="s">
        <v>308</v>
      </c>
      <c r="B126" s="61" t="s">
        <v>279</v>
      </c>
      <c r="C126" s="63" t="s">
        <v>71</v>
      </c>
      <c r="D126" s="118" t="s">
        <v>138</v>
      </c>
      <c r="E126" s="7"/>
      <c r="F126" s="4">
        <f t="shared" si="30"/>
        <v>6400</v>
      </c>
      <c r="G126" s="4">
        <f>5000+1400</f>
        <v>6400</v>
      </c>
      <c r="H126" s="12"/>
      <c r="I126" s="12"/>
      <c r="J126" s="12"/>
      <c r="K126" s="4"/>
      <c r="L126" s="4"/>
      <c r="M126" s="12"/>
      <c r="N126" s="4"/>
      <c r="O126" s="12"/>
      <c r="P126" s="12"/>
      <c r="Q126" s="4">
        <f t="shared" si="25"/>
        <v>6400</v>
      </c>
      <c r="T126" s="21"/>
    </row>
    <row r="127" spans="1:20" s="23" customFormat="1" ht="34.950000000000003" customHeight="1">
      <c r="A127" s="61" t="s">
        <v>206</v>
      </c>
      <c r="B127" s="61" t="s">
        <v>432</v>
      </c>
      <c r="C127" s="61" t="s">
        <v>76</v>
      </c>
      <c r="D127" s="111" t="s">
        <v>93</v>
      </c>
      <c r="E127" s="7"/>
      <c r="F127" s="4">
        <f t="shared" si="30"/>
        <v>814800</v>
      </c>
      <c r="G127" s="4">
        <f>802000+33500-25000-45700-50000+100000</f>
        <v>814800</v>
      </c>
      <c r="H127" s="12"/>
      <c r="I127" s="12"/>
      <c r="J127" s="12"/>
      <c r="K127" s="4">
        <f t="shared" ref="K127:K133" si="31">M127+P127</f>
        <v>48000</v>
      </c>
      <c r="L127" s="4">
        <f>50000-2000</f>
        <v>48000</v>
      </c>
      <c r="M127" s="12"/>
      <c r="N127" s="4"/>
      <c r="O127" s="12"/>
      <c r="P127" s="12">
        <f>L127</f>
        <v>48000</v>
      </c>
      <c r="Q127" s="4">
        <f t="shared" si="25"/>
        <v>862800</v>
      </c>
      <c r="T127" s="21"/>
    </row>
    <row r="128" spans="1:20" s="23" customFormat="1" ht="56.4" customHeight="1">
      <c r="A128" s="61" t="s">
        <v>154</v>
      </c>
      <c r="B128" s="61" t="s">
        <v>433</v>
      </c>
      <c r="C128" s="61" t="s">
        <v>76</v>
      </c>
      <c r="D128" s="111" t="s">
        <v>94</v>
      </c>
      <c r="E128" s="7"/>
      <c r="F128" s="4">
        <f t="shared" si="30"/>
        <v>263000</v>
      </c>
      <c r="G128" s="4">
        <f>146500+46500+50000+20000</f>
        <v>263000</v>
      </c>
      <c r="H128" s="12"/>
      <c r="I128" s="12"/>
      <c r="J128" s="12"/>
      <c r="K128" s="4">
        <f t="shared" si="31"/>
        <v>0</v>
      </c>
      <c r="L128" s="4"/>
      <c r="M128" s="12"/>
      <c r="N128" s="4"/>
      <c r="O128" s="12"/>
      <c r="P128" s="12"/>
      <c r="Q128" s="4">
        <f t="shared" si="25"/>
        <v>263000</v>
      </c>
      <c r="T128" s="21"/>
    </row>
    <row r="129" spans="1:20" s="23" customFormat="1" ht="54.6" customHeight="1">
      <c r="A129" s="61" t="s">
        <v>515</v>
      </c>
      <c r="B129" s="61" t="s">
        <v>389</v>
      </c>
      <c r="C129" s="64" t="s">
        <v>76</v>
      </c>
      <c r="D129" s="114" t="s">
        <v>92</v>
      </c>
      <c r="E129" s="7"/>
      <c r="F129" s="127">
        <f t="shared" ref="F129" si="32">G129+J129</f>
        <v>3785309.4099999997</v>
      </c>
      <c r="G129" s="127">
        <f>3744603.36+38206.05+15000-12500</f>
        <v>3785309.4099999997</v>
      </c>
      <c r="H129" s="126">
        <f>2469100+30000</f>
        <v>2499100</v>
      </c>
      <c r="I129" s="126">
        <v>408516.14</v>
      </c>
      <c r="J129" s="12"/>
      <c r="K129" s="4">
        <f t="shared" ref="K129" si="33">M129+P129</f>
        <v>50000</v>
      </c>
      <c r="L129" s="4">
        <v>50000</v>
      </c>
      <c r="M129" s="12"/>
      <c r="N129" s="4"/>
      <c r="O129" s="12"/>
      <c r="P129" s="12">
        <v>50000</v>
      </c>
      <c r="Q129" s="127">
        <f t="shared" ref="Q129" si="34">F129+K129</f>
        <v>3835309.4099999997</v>
      </c>
      <c r="T129" s="21"/>
    </row>
    <row r="130" spans="1:20" s="23" customFormat="1" ht="54.6" customHeight="1">
      <c r="A130" s="61" t="s">
        <v>156</v>
      </c>
      <c r="B130" s="61" t="s">
        <v>434</v>
      </c>
      <c r="C130" s="61" t="s">
        <v>76</v>
      </c>
      <c r="D130" s="111" t="s">
        <v>95</v>
      </c>
      <c r="E130" s="7"/>
      <c r="F130" s="4">
        <f t="shared" si="30"/>
        <v>1501000</v>
      </c>
      <c r="G130" s="4">
        <f>1100000+121000+10000+270000</f>
        <v>1501000</v>
      </c>
      <c r="H130" s="12"/>
      <c r="I130" s="12"/>
      <c r="J130" s="12"/>
      <c r="K130" s="4">
        <f t="shared" si="31"/>
        <v>0</v>
      </c>
      <c r="L130" s="4"/>
      <c r="M130" s="12"/>
      <c r="N130" s="4"/>
      <c r="O130" s="12"/>
      <c r="P130" s="12"/>
      <c r="Q130" s="4">
        <f t="shared" si="25"/>
        <v>1501000</v>
      </c>
      <c r="T130" s="21"/>
    </row>
    <row r="131" spans="1:20" s="23" customFormat="1" ht="91.5" customHeight="1">
      <c r="A131" s="61" t="s">
        <v>155</v>
      </c>
      <c r="B131" s="61" t="s">
        <v>435</v>
      </c>
      <c r="C131" s="61" t="s">
        <v>76</v>
      </c>
      <c r="D131" s="111" t="s">
        <v>300</v>
      </c>
      <c r="E131" s="7"/>
      <c r="F131" s="4">
        <f t="shared" si="30"/>
        <v>2060877</v>
      </c>
      <c r="G131" s="4">
        <f>1550000+10000+6000+94439+180000+139200+26238+6000+49000</f>
        <v>2060877</v>
      </c>
      <c r="H131" s="12">
        <v>1115000</v>
      </c>
      <c r="I131" s="12">
        <v>150900</v>
      </c>
      <c r="J131" s="12"/>
      <c r="K131" s="4">
        <f t="shared" si="31"/>
        <v>706052</v>
      </c>
      <c r="L131" s="4">
        <f>318800+90000+246990-26038</f>
        <v>629752</v>
      </c>
      <c r="M131" s="12">
        <v>76300</v>
      </c>
      <c r="N131" s="4">
        <v>49200</v>
      </c>
      <c r="O131" s="12"/>
      <c r="P131" s="12">
        <f>318800+90000+246990-26038</f>
        <v>629752</v>
      </c>
      <c r="Q131" s="4">
        <f>F131+K131</f>
        <v>2766929</v>
      </c>
      <c r="T131" s="21"/>
    </row>
    <row r="132" spans="1:20" s="23" customFormat="1" ht="48.6" hidden="1" customHeight="1">
      <c r="A132" s="61" t="s">
        <v>284</v>
      </c>
      <c r="B132" s="61" t="s">
        <v>376</v>
      </c>
      <c r="C132" s="61" t="s">
        <v>209</v>
      </c>
      <c r="D132" s="111" t="s">
        <v>275</v>
      </c>
      <c r="E132" s="7"/>
      <c r="F132" s="4">
        <f t="shared" si="30"/>
        <v>0</v>
      </c>
      <c r="G132" s="4">
        <v>0</v>
      </c>
      <c r="H132" s="12"/>
      <c r="I132" s="12"/>
      <c r="J132" s="12"/>
      <c r="K132" s="4">
        <f t="shared" si="31"/>
        <v>0</v>
      </c>
      <c r="L132" s="4"/>
      <c r="M132" s="12"/>
      <c r="N132" s="4"/>
      <c r="O132" s="12"/>
      <c r="P132" s="12">
        <f>L132</f>
        <v>0</v>
      </c>
      <c r="Q132" s="4">
        <f>F132+K132</f>
        <v>0</v>
      </c>
      <c r="T132" s="21"/>
    </row>
    <row r="133" spans="1:20" s="8" customFormat="1" ht="38.4" customHeight="1">
      <c r="A133" s="61" t="s">
        <v>473</v>
      </c>
      <c r="B133" s="61" t="s">
        <v>463</v>
      </c>
      <c r="C133" s="61" t="s">
        <v>464</v>
      </c>
      <c r="D133" s="111" t="s">
        <v>465</v>
      </c>
      <c r="E133" s="13"/>
      <c r="F133" s="4">
        <f t="shared" si="30"/>
        <v>11670</v>
      </c>
      <c r="G133" s="45">
        <f>11670</f>
        <v>11670</v>
      </c>
      <c r="H133" s="46"/>
      <c r="I133" s="46"/>
      <c r="J133" s="46"/>
      <c r="K133" s="4">
        <f t="shared" si="31"/>
        <v>45800</v>
      </c>
      <c r="L133" s="45">
        <f>8500+19000-200+18500</f>
        <v>45800</v>
      </c>
      <c r="M133" s="45"/>
      <c r="N133" s="45"/>
      <c r="O133" s="46"/>
      <c r="P133" s="46">
        <f>8500+19000-200+18500</f>
        <v>45800</v>
      </c>
      <c r="Q133" s="4">
        <f>F133+K133</f>
        <v>57470</v>
      </c>
      <c r="T133" s="19"/>
    </row>
    <row r="134" spans="1:20" s="23" customFormat="1" ht="67.95" customHeight="1">
      <c r="A134" s="69" t="s">
        <v>189</v>
      </c>
      <c r="B134" s="69" t="s">
        <v>189</v>
      </c>
      <c r="C134" s="83"/>
      <c r="D134" s="79" t="s">
        <v>34</v>
      </c>
      <c r="E134" s="78" t="s">
        <v>34</v>
      </c>
      <c r="F134" s="72">
        <f>F135</f>
        <v>48653729</v>
      </c>
      <c r="G134" s="72">
        <f>G135</f>
        <v>35772496</v>
      </c>
      <c r="H134" s="73">
        <f>H135</f>
        <v>3570000</v>
      </c>
      <c r="I134" s="73">
        <f>I135</f>
        <v>6194950</v>
      </c>
      <c r="J134" s="73">
        <f t="shared" ref="J134:P134" si="35">J135</f>
        <v>12881233</v>
      </c>
      <c r="K134" s="72">
        <f t="shared" si="35"/>
        <v>65886792.219999999</v>
      </c>
      <c r="L134" s="72">
        <f t="shared" si="35"/>
        <v>64532615.100000001</v>
      </c>
      <c r="M134" s="72">
        <f t="shared" si="35"/>
        <v>884177.12</v>
      </c>
      <c r="N134" s="73">
        <f t="shared" si="35"/>
        <v>0</v>
      </c>
      <c r="O134" s="73">
        <f t="shared" si="35"/>
        <v>0</v>
      </c>
      <c r="P134" s="72">
        <f t="shared" si="35"/>
        <v>65002615.100000001</v>
      </c>
      <c r="Q134" s="72">
        <f t="shared" si="25"/>
        <v>114540521.22</v>
      </c>
      <c r="T134" s="21"/>
    </row>
    <row r="135" spans="1:20" s="26" customFormat="1" ht="49.95" customHeight="1">
      <c r="A135" s="90" t="s">
        <v>190</v>
      </c>
      <c r="B135" s="90" t="s">
        <v>190</v>
      </c>
      <c r="C135" s="91"/>
      <c r="D135" s="119" t="str">
        <f>D134</f>
        <v>Управління житлово-комунального господарства та будівництва міської ради</v>
      </c>
      <c r="E135" s="92"/>
      <c r="F135" s="93">
        <f t="shared" ref="F135:O135" si="36">SUM(F136:F171)</f>
        <v>48653729</v>
      </c>
      <c r="G135" s="93">
        <f t="shared" si="36"/>
        <v>35772496</v>
      </c>
      <c r="H135" s="94">
        <f t="shared" si="36"/>
        <v>3570000</v>
      </c>
      <c r="I135" s="94">
        <f t="shared" si="36"/>
        <v>6194950</v>
      </c>
      <c r="J135" s="94">
        <f t="shared" si="36"/>
        <v>12881233</v>
      </c>
      <c r="K135" s="93">
        <f>SUM(K136:K171)+K172</f>
        <v>65886792.219999999</v>
      </c>
      <c r="L135" s="93">
        <f t="shared" si="36"/>
        <v>64532615.100000001</v>
      </c>
      <c r="M135" s="93">
        <f t="shared" si="36"/>
        <v>884177.12</v>
      </c>
      <c r="N135" s="94">
        <f t="shared" si="36"/>
        <v>0</v>
      </c>
      <c r="O135" s="94">
        <f t="shared" si="36"/>
        <v>0</v>
      </c>
      <c r="P135" s="94">
        <f>SUM(P136:P171)+P172</f>
        <v>65002615.100000001</v>
      </c>
      <c r="Q135" s="82">
        <f t="shared" ref="Q135:Q192" si="37">F135+K135</f>
        <v>114540521.22</v>
      </c>
      <c r="T135" s="27"/>
    </row>
    <row r="136" spans="1:20" s="8" customFormat="1" ht="69" customHeight="1">
      <c r="A136" s="61" t="s">
        <v>191</v>
      </c>
      <c r="B136" s="61" t="s">
        <v>356</v>
      </c>
      <c r="C136" s="61" t="s">
        <v>60</v>
      </c>
      <c r="D136" s="109" t="s">
        <v>306</v>
      </c>
      <c r="E136" s="7" t="s">
        <v>2</v>
      </c>
      <c r="F136" s="4">
        <f t="shared" ref="F136:F164" si="38">G136+J136</f>
        <v>4617900</v>
      </c>
      <c r="G136" s="4">
        <f>4407900+210000</f>
        <v>4617900</v>
      </c>
      <c r="H136" s="12">
        <v>3570000</v>
      </c>
      <c r="I136" s="12">
        <v>192950</v>
      </c>
      <c r="J136" s="12"/>
      <c r="K136" s="4">
        <f t="shared" ref="K136:K172" si="39">M136+P136</f>
        <v>200000</v>
      </c>
      <c r="L136" s="4"/>
      <c r="M136" s="57">
        <v>100000</v>
      </c>
      <c r="N136" s="4"/>
      <c r="O136" s="12"/>
      <c r="P136" s="12">
        <v>100000</v>
      </c>
      <c r="Q136" s="4">
        <f t="shared" si="37"/>
        <v>4817900</v>
      </c>
      <c r="T136" s="19"/>
    </row>
    <row r="137" spans="1:20" s="8" customFormat="1" ht="21" customHeight="1">
      <c r="A137" s="61" t="s">
        <v>283</v>
      </c>
      <c r="B137" s="61" t="s">
        <v>279</v>
      </c>
      <c r="C137" s="61" t="s">
        <v>71</v>
      </c>
      <c r="D137" s="109" t="s">
        <v>138</v>
      </c>
      <c r="E137" s="7"/>
      <c r="F137" s="4">
        <f t="shared" si="38"/>
        <v>23000</v>
      </c>
      <c r="G137" s="4">
        <f>20000+3000</f>
        <v>23000</v>
      </c>
      <c r="H137" s="12"/>
      <c r="I137" s="12"/>
      <c r="J137" s="12"/>
      <c r="K137" s="4">
        <f t="shared" si="39"/>
        <v>0</v>
      </c>
      <c r="L137" s="4"/>
      <c r="M137" s="49"/>
      <c r="N137" s="4"/>
      <c r="O137" s="12"/>
      <c r="P137" s="12"/>
      <c r="Q137" s="4">
        <f t="shared" si="37"/>
        <v>23000</v>
      </c>
      <c r="T137" s="19"/>
    </row>
    <row r="138" spans="1:20" s="8" customFormat="1" ht="37.200000000000003" customHeight="1">
      <c r="A138" s="61" t="s">
        <v>312</v>
      </c>
      <c r="B138" s="61" t="s">
        <v>423</v>
      </c>
      <c r="C138" s="61" t="s">
        <v>310</v>
      </c>
      <c r="D138" s="111" t="s">
        <v>309</v>
      </c>
      <c r="E138" s="7"/>
      <c r="F138" s="4">
        <f t="shared" si="38"/>
        <v>95000</v>
      </c>
      <c r="G138" s="4">
        <v>95000</v>
      </c>
      <c r="H138" s="12"/>
      <c r="I138" s="12"/>
      <c r="J138" s="12"/>
      <c r="K138" s="4">
        <f t="shared" ref="K138:K143" si="40">M138+P138</f>
        <v>0</v>
      </c>
      <c r="L138" s="4"/>
      <c r="M138" s="49"/>
      <c r="N138" s="4"/>
      <c r="O138" s="12"/>
      <c r="P138" s="12"/>
      <c r="Q138" s="4">
        <f t="shared" ref="Q138:Q143" si="41">F138+K138</f>
        <v>95000</v>
      </c>
      <c r="T138" s="19"/>
    </row>
    <row r="139" spans="1:20" s="8" customFormat="1" ht="48" hidden="1" customHeight="1">
      <c r="A139" s="61" t="s">
        <v>341</v>
      </c>
      <c r="B139" s="61" t="s">
        <v>436</v>
      </c>
      <c r="C139" s="61" t="s">
        <v>76</v>
      </c>
      <c r="D139" s="111" t="s">
        <v>342</v>
      </c>
      <c r="E139" s="7"/>
      <c r="F139" s="4">
        <f t="shared" si="38"/>
        <v>0</v>
      </c>
      <c r="G139" s="4"/>
      <c r="H139" s="12"/>
      <c r="I139" s="12"/>
      <c r="J139" s="12"/>
      <c r="K139" s="4">
        <f t="shared" si="40"/>
        <v>0</v>
      </c>
      <c r="L139" s="4"/>
      <c r="M139" s="49"/>
      <c r="N139" s="4"/>
      <c r="O139" s="12"/>
      <c r="P139" s="12">
        <f>L139</f>
        <v>0</v>
      </c>
      <c r="Q139" s="4">
        <f t="shared" si="41"/>
        <v>0</v>
      </c>
      <c r="T139" s="19"/>
    </row>
    <row r="140" spans="1:20" s="22" customFormat="1" ht="34.200000000000003" hidden="1" customHeight="1">
      <c r="A140" s="61" t="s">
        <v>192</v>
      </c>
      <c r="B140" s="61" t="s">
        <v>437</v>
      </c>
      <c r="C140" s="61" t="s">
        <v>67</v>
      </c>
      <c r="D140" s="111" t="s">
        <v>287</v>
      </c>
      <c r="E140" s="3" t="s">
        <v>45</v>
      </c>
      <c r="F140" s="4">
        <f t="shared" si="38"/>
        <v>0</v>
      </c>
      <c r="G140" s="4"/>
      <c r="H140" s="12"/>
      <c r="I140" s="12"/>
      <c r="J140" s="12"/>
      <c r="K140" s="4">
        <f t="shared" si="40"/>
        <v>0</v>
      </c>
      <c r="L140" s="4"/>
      <c r="M140" s="49"/>
      <c r="N140" s="4"/>
      <c r="O140" s="12"/>
      <c r="P140" s="12"/>
      <c r="Q140" s="4">
        <f t="shared" si="41"/>
        <v>0</v>
      </c>
      <c r="T140" s="19"/>
    </row>
    <row r="141" spans="1:20" s="8" customFormat="1" ht="34.200000000000003" hidden="1" customHeight="1">
      <c r="A141" s="67">
        <v>1216011</v>
      </c>
      <c r="B141" s="61" t="s">
        <v>438</v>
      </c>
      <c r="C141" s="61" t="s">
        <v>67</v>
      </c>
      <c r="D141" s="110" t="s">
        <v>254</v>
      </c>
      <c r="E141" s="7"/>
      <c r="F141" s="4">
        <f t="shared" si="38"/>
        <v>0</v>
      </c>
      <c r="G141" s="4"/>
      <c r="H141" s="12"/>
      <c r="I141" s="12"/>
      <c r="J141" s="12"/>
      <c r="K141" s="4">
        <f t="shared" si="40"/>
        <v>0</v>
      </c>
      <c r="L141" s="4"/>
      <c r="M141" s="49"/>
      <c r="N141" s="4"/>
      <c r="O141" s="12"/>
      <c r="P141" s="12">
        <f>L141</f>
        <v>0</v>
      </c>
      <c r="Q141" s="4">
        <f t="shared" si="41"/>
        <v>0</v>
      </c>
      <c r="T141" s="19"/>
    </row>
    <row r="142" spans="1:20" s="8" customFormat="1" ht="54.6" customHeight="1">
      <c r="A142" s="122">
        <v>1215045</v>
      </c>
      <c r="B142" s="61" t="s">
        <v>436</v>
      </c>
      <c r="C142" s="61" t="s">
        <v>76</v>
      </c>
      <c r="D142" s="110" t="s">
        <v>512</v>
      </c>
      <c r="E142" s="7"/>
      <c r="F142" s="4">
        <f t="shared" si="38"/>
        <v>0</v>
      </c>
      <c r="G142" s="4"/>
      <c r="H142" s="12"/>
      <c r="I142" s="12"/>
      <c r="J142" s="12"/>
      <c r="K142" s="4">
        <f t="shared" si="40"/>
        <v>508839</v>
      </c>
      <c r="L142" s="4">
        <v>508839</v>
      </c>
      <c r="M142" s="49"/>
      <c r="N142" s="4"/>
      <c r="O142" s="12"/>
      <c r="P142" s="12">
        <v>508839</v>
      </c>
      <c r="Q142" s="4">
        <f t="shared" si="41"/>
        <v>508839</v>
      </c>
      <c r="T142" s="19"/>
    </row>
    <row r="143" spans="1:20" s="8" customFormat="1" ht="36" customHeight="1">
      <c r="A143" s="125">
        <v>1216011</v>
      </c>
      <c r="B143" s="61" t="s">
        <v>438</v>
      </c>
      <c r="C143" s="61" t="s">
        <v>316</v>
      </c>
      <c r="D143" s="110" t="s">
        <v>514</v>
      </c>
      <c r="E143" s="7"/>
      <c r="F143" s="4">
        <f t="shared" si="38"/>
        <v>43000</v>
      </c>
      <c r="G143" s="4">
        <v>43000</v>
      </c>
      <c r="H143" s="12"/>
      <c r="I143" s="12"/>
      <c r="J143" s="12"/>
      <c r="K143" s="4">
        <f t="shared" si="40"/>
        <v>310000</v>
      </c>
      <c r="L143" s="4">
        <v>310000</v>
      </c>
      <c r="M143" s="49"/>
      <c r="N143" s="4"/>
      <c r="O143" s="12"/>
      <c r="P143" s="12">
        <v>310000</v>
      </c>
      <c r="Q143" s="4">
        <f t="shared" si="41"/>
        <v>353000</v>
      </c>
      <c r="T143" s="19"/>
    </row>
    <row r="144" spans="1:20" s="8" customFormat="1" ht="34.200000000000003" customHeight="1">
      <c r="A144" s="67">
        <v>1216013</v>
      </c>
      <c r="B144" s="61" t="s">
        <v>439</v>
      </c>
      <c r="C144" s="61" t="s">
        <v>67</v>
      </c>
      <c r="D144" s="110" t="s">
        <v>266</v>
      </c>
      <c r="E144" s="7"/>
      <c r="F144" s="4">
        <f t="shared" si="38"/>
        <v>360000</v>
      </c>
      <c r="G144" s="4">
        <f>300000+60000</f>
        <v>360000</v>
      </c>
      <c r="H144" s="12"/>
      <c r="I144" s="12"/>
      <c r="J144" s="12"/>
      <c r="K144" s="4">
        <f t="shared" si="39"/>
        <v>0</v>
      </c>
      <c r="L144" s="4"/>
      <c r="M144" s="49"/>
      <c r="N144" s="4"/>
      <c r="O144" s="12"/>
      <c r="P144" s="12"/>
      <c r="Q144" s="4">
        <f t="shared" si="37"/>
        <v>360000</v>
      </c>
      <c r="T144" s="19"/>
    </row>
    <row r="145" spans="1:20" s="8" customFormat="1" ht="52.95" customHeight="1">
      <c r="A145" s="67">
        <v>1216016</v>
      </c>
      <c r="B145" s="61" t="s">
        <v>474</v>
      </c>
      <c r="C145" s="61" t="s">
        <v>67</v>
      </c>
      <c r="D145" s="110" t="s">
        <v>475</v>
      </c>
      <c r="E145" s="7"/>
      <c r="F145" s="4">
        <f>G145+J145</f>
        <v>0</v>
      </c>
      <c r="G145" s="4"/>
      <c r="H145" s="12"/>
      <c r="I145" s="12"/>
      <c r="J145" s="12">
        <f>300000-300000</f>
        <v>0</v>
      </c>
      <c r="K145" s="4">
        <f>M145+P145</f>
        <v>0</v>
      </c>
      <c r="L145" s="4"/>
      <c r="M145" s="49"/>
      <c r="N145" s="4"/>
      <c r="O145" s="12"/>
      <c r="P145" s="12">
        <f>L145</f>
        <v>0</v>
      </c>
      <c r="Q145" s="4">
        <f>F145+K145</f>
        <v>0</v>
      </c>
      <c r="T145" s="19"/>
    </row>
    <row r="146" spans="1:20" s="8" customFormat="1" ht="34.200000000000003" hidden="1" customHeight="1">
      <c r="A146" s="67">
        <v>1216017</v>
      </c>
      <c r="B146" s="61" t="s">
        <v>440</v>
      </c>
      <c r="C146" s="61" t="s">
        <v>67</v>
      </c>
      <c r="D146" s="34" t="s">
        <v>288</v>
      </c>
      <c r="E146" s="7"/>
      <c r="F146" s="4">
        <f t="shared" si="38"/>
        <v>0</v>
      </c>
      <c r="G146" s="4"/>
      <c r="H146" s="12"/>
      <c r="I146" s="12"/>
      <c r="J146" s="12"/>
      <c r="K146" s="4">
        <f t="shared" si="39"/>
        <v>0</v>
      </c>
      <c r="L146" s="4"/>
      <c r="M146" s="49"/>
      <c r="N146" s="4"/>
      <c r="O146" s="12"/>
      <c r="P146" s="12"/>
      <c r="Q146" s="4">
        <f t="shared" si="37"/>
        <v>0</v>
      </c>
      <c r="T146" s="19"/>
    </row>
    <row r="147" spans="1:20" s="8" customFormat="1" ht="75.599999999999994" customHeight="1">
      <c r="A147" s="68">
        <v>1216020</v>
      </c>
      <c r="B147" s="61" t="s">
        <v>441</v>
      </c>
      <c r="C147" s="65" t="s">
        <v>67</v>
      </c>
      <c r="D147" s="120" t="s">
        <v>263</v>
      </c>
      <c r="E147" s="7"/>
      <c r="F147" s="4">
        <f t="shared" si="38"/>
        <v>2700000</v>
      </c>
      <c r="G147" s="4"/>
      <c r="H147" s="12"/>
      <c r="I147" s="12"/>
      <c r="J147" s="12">
        <f>500000+300000+1500000+400000</f>
        <v>2700000</v>
      </c>
      <c r="K147" s="4">
        <f t="shared" si="39"/>
        <v>0</v>
      </c>
      <c r="L147" s="4"/>
      <c r="M147" s="49"/>
      <c r="N147" s="4"/>
      <c r="O147" s="12"/>
      <c r="P147" s="12">
        <f>L147</f>
        <v>0</v>
      </c>
      <c r="Q147" s="4">
        <f t="shared" si="37"/>
        <v>2700000</v>
      </c>
      <c r="T147" s="19"/>
    </row>
    <row r="148" spans="1:20" s="8" customFormat="1" ht="36.75" customHeight="1">
      <c r="A148" s="61" t="s">
        <v>193</v>
      </c>
      <c r="B148" s="61" t="s">
        <v>442</v>
      </c>
      <c r="C148" s="61" t="s">
        <v>67</v>
      </c>
      <c r="D148" s="111" t="s">
        <v>194</v>
      </c>
      <c r="E148" s="7" t="s">
        <v>46</v>
      </c>
      <c r="F148" s="38">
        <f t="shared" si="38"/>
        <v>26133863</v>
      </c>
      <c r="G148" s="38">
        <f>790000+150000+7200000+160000+1251196+2527126+6002000+800000-8140000+159625+310000+398950+53000+385000+385000+100000+30000+115200+113190+30000-700000-199900+40000-163000+253000+195000+195000-115200+1371000+18000+45000-9000-7400-18000+878000-708430+388000+225000+192606+250000+944000+279000-100+48000+48000</f>
        <v>16268863</v>
      </c>
      <c r="H148" s="12"/>
      <c r="I148" s="12">
        <v>6002000</v>
      </c>
      <c r="J148" s="12">
        <f>8140000+1700000+25000</f>
        <v>9865000</v>
      </c>
      <c r="K148" s="38">
        <f t="shared" si="39"/>
        <v>564912.12</v>
      </c>
      <c r="L148" s="38">
        <f>150000+199750+90000+19000+199900-40000-90000+16400+18000</f>
        <v>563050</v>
      </c>
      <c r="M148" s="49">
        <v>1862.12</v>
      </c>
      <c r="N148" s="4"/>
      <c r="O148" s="12"/>
      <c r="P148" s="47">
        <f>L148</f>
        <v>563050</v>
      </c>
      <c r="Q148" s="38">
        <f t="shared" si="37"/>
        <v>26698775.120000001</v>
      </c>
      <c r="T148" s="19"/>
    </row>
    <row r="149" spans="1:20" s="23" customFormat="1" ht="21" customHeight="1">
      <c r="A149" s="67">
        <v>1217130</v>
      </c>
      <c r="B149" s="61" t="s">
        <v>375</v>
      </c>
      <c r="C149" s="61" t="s">
        <v>69</v>
      </c>
      <c r="D149" s="121" t="s">
        <v>115</v>
      </c>
      <c r="E149" s="13"/>
      <c r="F149" s="4">
        <f t="shared" si="38"/>
        <v>90000</v>
      </c>
      <c r="G149" s="4">
        <f>40000+80150+27000-57150</f>
        <v>90000</v>
      </c>
      <c r="H149" s="50"/>
      <c r="I149" s="50"/>
      <c r="J149" s="4"/>
      <c r="K149" s="4">
        <f t="shared" si="39"/>
        <v>4845</v>
      </c>
      <c r="L149" s="4"/>
      <c r="M149" s="51">
        <v>4845</v>
      </c>
      <c r="N149" s="4"/>
      <c r="O149" s="4"/>
      <c r="P149" s="4"/>
      <c r="Q149" s="4">
        <f t="shared" si="37"/>
        <v>94845</v>
      </c>
      <c r="T149" s="21"/>
    </row>
    <row r="150" spans="1:20" s="8" customFormat="1" ht="34.950000000000003" hidden="1" customHeight="1">
      <c r="A150" s="61" t="s">
        <v>259</v>
      </c>
      <c r="B150" s="61" t="s">
        <v>443</v>
      </c>
      <c r="C150" s="61"/>
      <c r="D150" s="116" t="s">
        <v>498</v>
      </c>
      <c r="E150" s="13" t="s">
        <v>14</v>
      </c>
      <c r="F150" s="4">
        <f t="shared" si="38"/>
        <v>0</v>
      </c>
      <c r="G150" s="4"/>
      <c r="H150" s="12"/>
      <c r="I150" s="12"/>
      <c r="J150" s="12"/>
      <c r="K150" s="4">
        <f t="shared" si="39"/>
        <v>0</v>
      </c>
      <c r="L150" s="4"/>
      <c r="M150" s="49"/>
      <c r="N150" s="4"/>
      <c r="O150" s="12"/>
      <c r="P150" s="12">
        <f t="shared" ref="P150:P156" si="42">L150</f>
        <v>0</v>
      </c>
      <c r="Q150" s="4">
        <f t="shared" si="37"/>
        <v>0</v>
      </c>
      <c r="T150" s="19"/>
    </row>
    <row r="151" spans="1:20" s="8" customFormat="1" ht="40.5" customHeight="1">
      <c r="A151" s="61" t="s">
        <v>260</v>
      </c>
      <c r="B151" s="61" t="s">
        <v>390</v>
      </c>
      <c r="C151" s="62" t="s">
        <v>82</v>
      </c>
      <c r="D151" s="10" t="s">
        <v>499</v>
      </c>
      <c r="E151" s="13"/>
      <c r="F151" s="4">
        <f t="shared" si="38"/>
        <v>0</v>
      </c>
      <c r="G151" s="4"/>
      <c r="H151" s="12"/>
      <c r="I151" s="12"/>
      <c r="J151" s="12"/>
      <c r="K151" s="4">
        <f t="shared" si="39"/>
        <v>5049300</v>
      </c>
      <c r="L151" s="4">
        <f>5439300-890000+500000</f>
        <v>5049300</v>
      </c>
      <c r="M151" s="49"/>
      <c r="N151" s="4"/>
      <c r="O151" s="12"/>
      <c r="P151" s="12">
        <f t="shared" si="42"/>
        <v>5049300</v>
      </c>
      <c r="Q151" s="4">
        <f t="shared" si="37"/>
        <v>5049300</v>
      </c>
      <c r="T151" s="19"/>
    </row>
    <row r="152" spans="1:20" s="8" customFormat="1" ht="40.5" customHeight="1">
      <c r="A152" s="61" t="s">
        <v>513</v>
      </c>
      <c r="B152" s="61" t="s">
        <v>444</v>
      </c>
      <c r="C152" s="62" t="s">
        <v>82</v>
      </c>
      <c r="D152" s="10" t="s">
        <v>487</v>
      </c>
      <c r="E152" s="13"/>
      <c r="F152" s="4"/>
      <c r="G152" s="4"/>
      <c r="H152" s="12"/>
      <c r="I152" s="12"/>
      <c r="J152" s="12"/>
      <c r="K152" s="4">
        <f t="shared" si="39"/>
        <v>10000</v>
      </c>
      <c r="L152" s="4">
        <f>350000+12009872+3100000-15449872</f>
        <v>10000</v>
      </c>
      <c r="M152" s="49"/>
      <c r="N152" s="4"/>
      <c r="O152" s="12"/>
      <c r="P152" s="12">
        <f>L152</f>
        <v>10000</v>
      </c>
      <c r="Q152" s="4">
        <f t="shared" si="37"/>
        <v>10000</v>
      </c>
      <c r="T152" s="19"/>
    </row>
    <row r="153" spans="1:20" s="8" customFormat="1" ht="35.4" customHeight="1">
      <c r="A153" s="61" t="s">
        <v>261</v>
      </c>
      <c r="B153" s="61" t="s">
        <v>445</v>
      </c>
      <c r="C153" s="62" t="s">
        <v>82</v>
      </c>
      <c r="D153" s="10" t="s">
        <v>492</v>
      </c>
      <c r="E153" s="13"/>
      <c r="F153" s="4">
        <f t="shared" si="38"/>
        <v>0</v>
      </c>
      <c r="G153" s="4"/>
      <c r="H153" s="12"/>
      <c r="I153" s="12"/>
      <c r="J153" s="12"/>
      <c r="K153" s="4">
        <f t="shared" si="39"/>
        <v>4000000</v>
      </c>
      <c r="L153" s="4">
        <v>4000000</v>
      </c>
      <c r="M153" s="49"/>
      <c r="N153" s="4"/>
      <c r="O153" s="12"/>
      <c r="P153" s="12">
        <f t="shared" si="42"/>
        <v>4000000</v>
      </c>
      <c r="Q153" s="4">
        <f t="shared" si="37"/>
        <v>4000000</v>
      </c>
      <c r="T153" s="19"/>
    </row>
    <row r="154" spans="1:20" s="8" customFormat="1" ht="3" hidden="1" customHeight="1">
      <c r="A154" s="61" t="s">
        <v>261</v>
      </c>
      <c r="B154" s="61" t="s">
        <v>445</v>
      </c>
      <c r="C154" s="61" t="s">
        <v>82</v>
      </c>
      <c r="D154" s="37" t="s">
        <v>304</v>
      </c>
      <c r="E154" s="7"/>
      <c r="F154" s="4">
        <f t="shared" si="38"/>
        <v>0</v>
      </c>
      <c r="G154" s="4"/>
      <c r="H154" s="12"/>
      <c r="I154" s="12"/>
      <c r="J154" s="12"/>
      <c r="K154" s="4">
        <f t="shared" si="39"/>
        <v>0</v>
      </c>
      <c r="L154" s="4"/>
      <c r="M154" s="49"/>
      <c r="N154" s="4"/>
      <c r="O154" s="12"/>
      <c r="P154" s="12">
        <f t="shared" si="42"/>
        <v>0</v>
      </c>
      <c r="Q154" s="4">
        <f t="shared" si="37"/>
        <v>0</v>
      </c>
      <c r="T154" s="19"/>
    </row>
    <row r="155" spans="1:20" s="8" customFormat="1" ht="39" customHeight="1">
      <c r="A155" s="61" t="s">
        <v>262</v>
      </c>
      <c r="B155" s="61" t="s">
        <v>446</v>
      </c>
      <c r="C155" s="61" t="s">
        <v>82</v>
      </c>
      <c r="D155" s="10" t="s">
        <v>500</v>
      </c>
      <c r="E155" s="7"/>
      <c r="F155" s="4">
        <f t="shared" si="38"/>
        <v>0</v>
      </c>
      <c r="G155" s="4"/>
      <c r="H155" s="12"/>
      <c r="I155" s="12"/>
      <c r="J155" s="12"/>
      <c r="K155" s="38">
        <f t="shared" si="39"/>
        <v>8486129.0999999996</v>
      </c>
      <c r="L155" s="38">
        <f>9765668+4976385+120000+244190+166810+170000-569490-3685649-44147.8-7352.1+50000+150000-4976385+12000+25000+49500+24500+15000+1500000+500000+100</f>
        <v>8486129.0999999996</v>
      </c>
      <c r="M155" s="49"/>
      <c r="N155" s="4"/>
      <c r="O155" s="12"/>
      <c r="P155" s="47">
        <f t="shared" si="42"/>
        <v>8486129.0999999996</v>
      </c>
      <c r="Q155" s="38">
        <f t="shared" si="37"/>
        <v>8486129.0999999996</v>
      </c>
      <c r="T155" s="19"/>
    </row>
    <row r="156" spans="1:20" s="8" customFormat="1" ht="38.25" customHeight="1">
      <c r="A156" s="61" t="s">
        <v>282</v>
      </c>
      <c r="B156" s="61" t="s">
        <v>447</v>
      </c>
      <c r="C156" s="61" t="s">
        <v>82</v>
      </c>
      <c r="D156" s="10" t="s">
        <v>301</v>
      </c>
      <c r="E156" s="7"/>
      <c r="F156" s="4">
        <f t="shared" si="38"/>
        <v>0</v>
      </c>
      <c r="G156" s="4"/>
      <c r="H156" s="12"/>
      <c r="I156" s="12"/>
      <c r="J156" s="12"/>
      <c r="K156" s="4">
        <f t="shared" si="39"/>
        <v>106800</v>
      </c>
      <c r="L156" s="4">
        <f>1966000-1936000+66800+10000</f>
        <v>106800</v>
      </c>
      <c r="M156" s="49"/>
      <c r="N156" s="4"/>
      <c r="O156" s="12"/>
      <c r="P156" s="12">
        <f t="shared" si="42"/>
        <v>106800</v>
      </c>
      <c r="Q156" s="4">
        <f t="shared" si="37"/>
        <v>106800</v>
      </c>
      <c r="T156" s="19"/>
    </row>
    <row r="157" spans="1:20" s="8" customFormat="1" ht="31.95" hidden="1" customHeight="1">
      <c r="A157" s="61" t="s">
        <v>195</v>
      </c>
      <c r="B157" s="61" t="s">
        <v>448</v>
      </c>
      <c r="C157" s="61" t="s">
        <v>82</v>
      </c>
      <c r="D157" s="111" t="s">
        <v>196</v>
      </c>
      <c r="E157" s="7" t="s">
        <v>15</v>
      </c>
      <c r="F157" s="4">
        <f t="shared" si="38"/>
        <v>0</v>
      </c>
      <c r="G157" s="4"/>
      <c r="H157" s="12"/>
      <c r="I157" s="12"/>
      <c r="J157" s="12"/>
      <c r="K157" s="4">
        <f t="shared" si="39"/>
        <v>0</v>
      </c>
      <c r="L157" s="4"/>
      <c r="M157" s="49"/>
      <c r="N157" s="4"/>
      <c r="O157" s="12"/>
      <c r="P157" s="12">
        <f t="shared" ref="P157:P163" si="43">L157</f>
        <v>0</v>
      </c>
      <c r="Q157" s="4">
        <f t="shared" si="37"/>
        <v>0</v>
      </c>
      <c r="T157" s="19"/>
    </row>
    <row r="158" spans="1:20" s="8" customFormat="1" ht="48.6" hidden="1" customHeight="1">
      <c r="A158" s="61" t="s">
        <v>271</v>
      </c>
      <c r="B158" s="61" t="s">
        <v>449</v>
      </c>
      <c r="C158" s="61" t="s">
        <v>209</v>
      </c>
      <c r="D158" s="10" t="s">
        <v>272</v>
      </c>
      <c r="E158" s="7"/>
      <c r="F158" s="4">
        <f t="shared" si="38"/>
        <v>0</v>
      </c>
      <c r="G158" s="4"/>
      <c r="H158" s="12"/>
      <c r="I158" s="12"/>
      <c r="J158" s="12"/>
      <c r="K158" s="4">
        <f t="shared" si="39"/>
        <v>0</v>
      </c>
      <c r="L158" s="4"/>
      <c r="M158" s="49"/>
      <c r="N158" s="4"/>
      <c r="O158" s="12"/>
      <c r="P158" s="12">
        <f t="shared" si="43"/>
        <v>0</v>
      </c>
      <c r="Q158" s="4">
        <f t="shared" si="37"/>
        <v>0</v>
      </c>
      <c r="T158" s="19"/>
    </row>
    <row r="159" spans="1:20" s="8" customFormat="1" ht="48.6" hidden="1" customHeight="1">
      <c r="A159" s="61" t="s">
        <v>331</v>
      </c>
      <c r="B159" s="61" t="s">
        <v>450</v>
      </c>
      <c r="C159" s="61" t="s">
        <v>209</v>
      </c>
      <c r="D159" s="10" t="s">
        <v>332</v>
      </c>
      <c r="E159" s="7"/>
      <c r="F159" s="4">
        <f t="shared" si="38"/>
        <v>0</v>
      </c>
      <c r="G159" s="4"/>
      <c r="H159" s="12"/>
      <c r="I159" s="12"/>
      <c r="J159" s="12"/>
      <c r="K159" s="4">
        <f t="shared" si="39"/>
        <v>0</v>
      </c>
      <c r="L159" s="4"/>
      <c r="M159" s="49"/>
      <c r="N159" s="4"/>
      <c r="O159" s="12"/>
      <c r="P159" s="12">
        <f t="shared" si="43"/>
        <v>0</v>
      </c>
      <c r="Q159" s="4">
        <f t="shared" si="37"/>
        <v>0</v>
      </c>
      <c r="T159" s="19"/>
    </row>
    <row r="160" spans="1:20" s="8" customFormat="1" ht="48.6" hidden="1" customHeight="1">
      <c r="A160" s="61" t="s">
        <v>274</v>
      </c>
      <c r="B160" s="61" t="s">
        <v>376</v>
      </c>
      <c r="C160" s="61" t="s">
        <v>209</v>
      </c>
      <c r="D160" s="10" t="s">
        <v>275</v>
      </c>
      <c r="E160" s="7"/>
      <c r="F160" s="4">
        <f t="shared" si="38"/>
        <v>0</v>
      </c>
      <c r="G160" s="4"/>
      <c r="H160" s="12"/>
      <c r="I160" s="12"/>
      <c r="J160" s="12"/>
      <c r="K160" s="4">
        <f t="shared" si="39"/>
        <v>0</v>
      </c>
      <c r="L160" s="38"/>
      <c r="M160" s="49"/>
      <c r="N160" s="38"/>
      <c r="O160" s="47"/>
      <c r="P160" s="47">
        <f t="shared" si="43"/>
        <v>0</v>
      </c>
      <c r="Q160" s="4">
        <f t="shared" si="37"/>
        <v>0</v>
      </c>
      <c r="T160" s="19"/>
    </row>
    <row r="161" spans="1:20" s="8" customFormat="1" ht="60" customHeight="1">
      <c r="A161" s="61" t="s">
        <v>195</v>
      </c>
      <c r="B161" s="61" t="s">
        <v>448</v>
      </c>
      <c r="C161" s="61" t="s">
        <v>82</v>
      </c>
      <c r="D161" s="10" t="s">
        <v>461</v>
      </c>
      <c r="E161" s="7"/>
      <c r="F161" s="4">
        <f t="shared" si="38"/>
        <v>0</v>
      </c>
      <c r="G161" s="4"/>
      <c r="H161" s="12"/>
      <c r="I161" s="12"/>
      <c r="J161" s="12"/>
      <c r="K161" s="4">
        <f t="shared" si="39"/>
        <v>55300</v>
      </c>
      <c r="L161" s="38">
        <f>55300</f>
        <v>55300</v>
      </c>
      <c r="M161" s="49"/>
      <c r="N161" s="38"/>
      <c r="O161" s="47"/>
      <c r="P161" s="47">
        <f t="shared" si="43"/>
        <v>55300</v>
      </c>
      <c r="Q161" s="4">
        <f t="shared" si="37"/>
        <v>55300</v>
      </c>
      <c r="T161" s="19"/>
    </row>
    <row r="162" spans="1:20" s="8" customFormat="1" ht="82.95" customHeight="1">
      <c r="A162" s="61" t="s">
        <v>520</v>
      </c>
      <c r="B162" s="61" t="s">
        <v>521</v>
      </c>
      <c r="C162" s="61" t="s">
        <v>209</v>
      </c>
      <c r="D162" s="10" t="s">
        <v>522</v>
      </c>
      <c r="E162" s="7"/>
      <c r="F162" s="4">
        <f t="shared" si="38"/>
        <v>0</v>
      </c>
      <c r="G162" s="4"/>
      <c r="H162" s="12"/>
      <c r="I162" s="12"/>
      <c r="J162" s="12"/>
      <c r="K162" s="4">
        <f>M162+P162</f>
        <v>17339084</v>
      </c>
      <c r="L162" s="38">
        <f>13703392+2460203+1175489</f>
        <v>17339084</v>
      </c>
      <c r="M162" s="49"/>
      <c r="N162" s="38"/>
      <c r="O162" s="47"/>
      <c r="P162" s="47">
        <f>13703392+2460203+1175489</f>
        <v>17339084</v>
      </c>
      <c r="Q162" s="4">
        <f t="shared" si="37"/>
        <v>17339084</v>
      </c>
      <c r="T162" s="19"/>
    </row>
    <row r="163" spans="1:20" s="8" customFormat="1" ht="57" customHeight="1">
      <c r="A163" s="61" t="s">
        <v>270</v>
      </c>
      <c r="B163" s="61" t="s">
        <v>451</v>
      </c>
      <c r="C163" s="61" t="s">
        <v>256</v>
      </c>
      <c r="D163" s="58" t="s">
        <v>269</v>
      </c>
      <c r="E163" s="7"/>
      <c r="F163" s="38">
        <f t="shared" si="38"/>
        <v>13461809</v>
      </c>
      <c r="G163" s="38">
        <f>15984972+196867+26614+31318+40999+500000-26614-5396961+56614+2048000</f>
        <v>13461809</v>
      </c>
      <c r="H163" s="12"/>
      <c r="I163" s="12"/>
      <c r="J163" s="12"/>
      <c r="K163" s="38">
        <f t="shared" si="39"/>
        <v>20693548</v>
      </c>
      <c r="L163" s="4">
        <f>25886197-340798+45000+2058961-7011720+47474</f>
        <v>20685114</v>
      </c>
      <c r="M163" s="49">
        <f>8434</f>
        <v>8434</v>
      </c>
      <c r="N163" s="4"/>
      <c r="O163" s="12"/>
      <c r="P163" s="12">
        <f t="shared" si="43"/>
        <v>20685114</v>
      </c>
      <c r="Q163" s="38">
        <f t="shared" si="37"/>
        <v>34155357</v>
      </c>
      <c r="T163" s="19"/>
    </row>
    <row r="164" spans="1:20" s="8" customFormat="1" ht="44.4" customHeight="1">
      <c r="A164" s="61" t="s">
        <v>476</v>
      </c>
      <c r="B164" s="61" t="s">
        <v>463</v>
      </c>
      <c r="C164" s="61" t="s">
        <v>464</v>
      </c>
      <c r="D164" s="111" t="s">
        <v>465</v>
      </c>
      <c r="E164" s="13"/>
      <c r="F164" s="4">
        <f t="shared" si="38"/>
        <v>5000</v>
      </c>
      <c r="G164" s="45">
        <v>5000</v>
      </c>
      <c r="H164" s="46"/>
      <c r="I164" s="46"/>
      <c r="J164" s="46"/>
      <c r="K164" s="4">
        <f t="shared" si="39"/>
        <v>0</v>
      </c>
      <c r="L164" s="45"/>
      <c r="M164" s="45"/>
      <c r="N164" s="45"/>
      <c r="O164" s="46"/>
      <c r="P164" s="46"/>
      <c r="Q164" s="4">
        <f>F164+K164</f>
        <v>5000</v>
      </c>
      <c r="T164" s="19"/>
    </row>
    <row r="165" spans="1:20" s="8" customFormat="1" ht="21" customHeight="1">
      <c r="A165" s="61" t="s">
        <v>477</v>
      </c>
      <c r="B165" s="61" t="s">
        <v>378</v>
      </c>
      <c r="C165" s="61" t="s">
        <v>85</v>
      </c>
      <c r="D165" s="111" t="s">
        <v>140</v>
      </c>
      <c r="E165" s="7"/>
      <c r="F165" s="4">
        <f t="shared" ref="F165:F172" si="44">G165+J165</f>
        <v>0</v>
      </c>
      <c r="G165" s="4"/>
      <c r="H165" s="12"/>
      <c r="I165" s="12"/>
      <c r="J165" s="12"/>
      <c r="K165" s="4">
        <f t="shared" si="39"/>
        <v>1248999</v>
      </c>
      <c r="L165" s="4">
        <v>1248999</v>
      </c>
      <c r="M165" s="49"/>
      <c r="N165" s="4"/>
      <c r="O165" s="12"/>
      <c r="P165" s="12">
        <v>1248999</v>
      </c>
      <c r="Q165" s="4">
        <f t="shared" si="37"/>
        <v>1248999</v>
      </c>
      <c r="T165" s="19"/>
    </row>
    <row r="166" spans="1:20" s="8" customFormat="1" ht="42.6" customHeight="1">
      <c r="A166" s="61" t="s">
        <v>253</v>
      </c>
      <c r="B166" s="61" t="s">
        <v>379</v>
      </c>
      <c r="C166" s="61" t="s">
        <v>209</v>
      </c>
      <c r="D166" s="111" t="s">
        <v>302</v>
      </c>
      <c r="E166" s="7"/>
      <c r="F166" s="4">
        <f t="shared" si="44"/>
        <v>0</v>
      </c>
      <c r="G166" s="4"/>
      <c r="H166" s="12"/>
      <c r="I166" s="12"/>
      <c r="J166" s="12"/>
      <c r="K166" s="4">
        <f>M166+P166</f>
        <v>6170000</v>
      </c>
      <c r="L166" s="4">
        <f>2250000+270000+1050000+1500000+1100000</f>
        <v>6170000</v>
      </c>
      <c r="M166" s="49"/>
      <c r="N166" s="4"/>
      <c r="O166" s="12"/>
      <c r="P166" s="12">
        <f>2250000+270000+1050000+1500000+1100000</f>
        <v>6170000</v>
      </c>
      <c r="Q166" s="4">
        <f>F166+K166</f>
        <v>6170000</v>
      </c>
      <c r="T166" s="19"/>
    </row>
    <row r="167" spans="1:20" s="8" customFormat="1" ht="42.6" customHeight="1">
      <c r="A167" s="61" t="s">
        <v>502</v>
      </c>
      <c r="B167" s="61" t="s">
        <v>503</v>
      </c>
      <c r="C167" s="61" t="s">
        <v>209</v>
      </c>
      <c r="D167" s="111" t="s">
        <v>504</v>
      </c>
      <c r="E167" s="7"/>
      <c r="F167" s="4">
        <f>G167+J167</f>
        <v>316233</v>
      </c>
      <c r="G167" s="4">
        <v>0</v>
      </c>
      <c r="H167" s="12"/>
      <c r="I167" s="12"/>
      <c r="J167" s="12">
        <f>142000+174233</f>
        <v>316233</v>
      </c>
      <c r="K167" s="4">
        <v>0</v>
      </c>
      <c r="L167" s="4"/>
      <c r="M167" s="49"/>
      <c r="N167" s="4"/>
      <c r="O167" s="12"/>
      <c r="P167" s="12"/>
      <c r="Q167" s="4">
        <f>F167+K167</f>
        <v>316233</v>
      </c>
      <c r="T167" s="19"/>
    </row>
    <row r="168" spans="1:20" s="8" customFormat="1" ht="61.2" customHeight="1">
      <c r="A168" s="61" t="s">
        <v>197</v>
      </c>
      <c r="B168" s="61" t="s">
        <v>381</v>
      </c>
      <c r="C168" s="61" t="s">
        <v>70</v>
      </c>
      <c r="D168" s="111" t="s">
        <v>237</v>
      </c>
      <c r="E168" s="7" t="s">
        <v>39</v>
      </c>
      <c r="F168" s="4">
        <f t="shared" si="44"/>
        <v>220000</v>
      </c>
      <c r="G168" s="4">
        <f>60000+61000+26614+72386</f>
        <v>220000</v>
      </c>
      <c r="H168" s="12"/>
      <c r="I168" s="12"/>
      <c r="J168" s="12"/>
      <c r="K168" s="4">
        <f t="shared" si="39"/>
        <v>0</v>
      </c>
      <c r="L168" s="4"/>
      <c r="M168" s="49"/>
      <c r="N168" s="4"/>
      <c r="O168" s="12"/>
      <c r="P168" s="12">
        <f>L168</f>
        <v>0</v>
      </c>
      <c r="Q168" s="4">
        <f t="shared" si="37"/>
        <v>220000</v>
      </c>
      <c r="T168" s="19"/>
    </row>
    <row r="169" spans="1:20" s="8" customFormat="1" ht="19.95" customHeight="1">
      <c r="A169" s="61" t="s">
        <v>198</v>
      </c>
      <c r="B169" s="61" t="s">
        <v>392</v>
      </c>
      <c r="C169" s="61" t="s">
        <v>70</v>
      </c>
      <c r="D169" s="111" t="s">
        <v>199</v>
      </c>
      <c r="E169" s="7" t="s">
        <v>19</v>
      </c>
      <c r="F169" s="4">
        <f t="shared" si="44"/>
        <v>100000</v>
      </c>
      <c r="G169" s="4">
        <v>100000</v>
      </c>
      <c r="H169" s="12"/>
      <c r="I169" s="12"/>
      <c r="J169" s="12"/>
      <c r="K169" s="4">
        <f t="shared" si="39"/>
        <v>0</v>
      </c>
      <c r="L169" s="4"/>
      <c r="M169" s="49"/>
      <c r="N169" s="4"/>
      <c r="O169" s="12"/>
      <c r="P169" s="12"/>
      <c r="Q169" s="4">
        <f t="shared" si="37"/>
        <v>100000</v>
      </c>
      <c r="T169" s="19"/>
    </row>
    <row r="170" spans="1:20" s="8" customFormat="1" ht="36.6" customHeight="1">
      <c r="A170" s="63" t="s">
        <v>478</v>
      </c>
      <c r="B170" s="63" t="s">
        <v>467</v>
      </c>
      <c r="C170" s="63" t="s">
        <v>468</v>
      </c>
      <c r="D170" s="112" t="s">
        <v>469</v>
      </c>
      <c r="E170" s="7" t="s">
        <v>4</v>
      </c>
      <c r="F170" s="45">
        <f t="shared" si="44"/>
        <v>487924</v>
      </c>
      <c r="G170" s="45">
        <f>300000+187924</f>
        <v>487924</v>
      </c>
      <c r="H170" s="46"/>
      <c r="I170" s="46"/>
      <c r="J170" s="46"/>
      <c r="K170" s="4">
        <f t="shared" si="39"/>
        <v>0</v>
      </c>
      <c r="L170" s="45"/>
      <c r="M170" s="45"/>
      <c r="N170" s="45"/>
      <c r="O170" s="46"/>
      <c r="P170" s="46"/>
      <c r="Q170" s="4">
        <f t="shared" si="37"/>
        <v>487924</v>
      </c>
      <c r="T170" s="19"/>
    </row>
    <row r="171" spans="1:20" s="8" customFormat="1" ht="43.2" customHeight="1">
      <c r="A171" s="61" t="s">
        <v>207</v>
      </c>
      <c r="B171" s="61" t="s">
        <v>452</v>
      </c>
      <c r="C171" s="61" t="s">
        <v>200</v>
      </c>
      <c r="D171" s="111" t="s">
        <v>208</v>
      </c>
      <c r="E171" s="7" t="s">
        <v>55</v>
      </c>
      <c r="F171" s="4">
        <f t="shared" si="44"/>
        <v>0</v>
      </c>
      <c r="G171" s="4"/>
      <c r="H171" s="12"/>
      <c r="I171" s="12"/>
      <c r="J171" s="12"/>
      <c r="K171" s="38">
        <f t="shared" si="39"/>
        <v>769036</v>
      </c>
      <c r="L171" s="4"/>
      <c r="M171" s="49">
        <f>562900+206136</f>
        <v>769036</v>
      </c>
      <c r="N171" s="4"/>
      <c r="O171" s="12"/>
      <c r="P171" s="12"/>
      <c r="Q171" s="38">
        <f t="shared" si="37"/>
        <v>769036</v>
      </c>
      <c r="T171" s="19"/>
    </row>
    <row r="172" spans="1:20" s="8" customFormat="1" ht="43.2" customHeight="1">
      <c r="A172" s="61" t="s">
        <v>505</v>
      </c>
      <c r="B172" s="61" t="s">
        <v>506</v>
      </c>
      <c r="C172" s="61" t="s">
        <v>507</v>
      </c>
      <c r="D172" s="111" t="s">
        <v>508</v>
      </c>
      <c r="E172" s="7"/>
      <c r="F172" s="4">
        <f t="shared" si="44"/>
        <v>0</v>
      </c>
      <c r="G172" s="4"/>
      <c r="H172" s="12"/>
      <c r="I172" s="12"/>
      <c r="J172" s="12"/>
      <c r="K172" s="38">
        <f t="shared" si="39"/>
        <v>370000</v>
      </c>
      <c r="L172" s="4"/>
      <c r="M172" s="49"/>
      <c r="N172" s="4"/>
      <c r="O172" s="12"/>
      <c r="P172" s="12">
        <v>370000</v>
      </c>
      <c r="Q172" s="38">
        <f t="shared" si="37"/>
        <v>370000</v>
      </c>
      <c r="T172" s="19"/>
    </row>
    <row r="173" spans="1:20" s="8" customFormat="1" ht="52.95" customHeight="1">
      <c r="A173" s="69" t="s">
        <v>343</v>
      </c>
      <c r="B173" s="95">
        <v>3100000</v>
      </c>
      <c r="C173" s="69"/>
      <c r="D173" s="96" t="s">
        <v>493</v>
      </c>
      <c r="E173" s="78"/>
      <c r="F173" s="72">
        <f>F174</f>
        <v>3262050</v>
      </c>
      <c r="G173" s="72">
        <f t="shared" ref="G173:P173" si="45">G174</f>
        <v>3262050</v>
      </c>
      <c r="H173" s="73">
        <f t="shared" si="45"/>
        <v>2366800</v>
      </c>
      <c r="I173" s="73">
        <f t="shared" si="45"/>
        <v>81250</v>
      </c>
      <c r="J173" s="73">
        <f t="shared" si="45"/>
        <v>0</v>
      </c>
      <c r="K173" s="73">
        <f t="shared" si="45"/>
        <v>71500</v>
      </c>
      <c r="L173" s="73">
        <f t="shared" si="45"/>
        <v>71500</v>
      </c>
      <c r="M173" s="73">
        <f t="shared" si="45"/>
        <v>0</v>
      </c>
      <c r="N173" s="73">
        <f t="shared" si="45"/>
        <v>0</v>
      </c>
      <c r="O173" s="73">
        <f t="shared" si="45"/>
        <v>0</v>
      </c>
      <c r="P173" s="73">
        <f t="shared" si="45"/>
        <v>71500</v>
      </c>
      <c r="Q173" s="73">
        <f>F173+K173</f>
        <v>3333550</v>
      </c>
      <c r="T173" s="19"/>
    </row>
    <row r="174" spans="1:20" s="8" customFormat="1" ht="39" customHeight="1">
      <c r="A174" s="74" t="s">
        <v>344</v>
      </c>
      <c r="B174" s="97">
        <v>3110000</v>
      </c>
      <c r="C174" s="74"/>
      <c r="D174" s="98" t="str">
        <f>D173</f>
        <v>Управління комунального майна  та земельних відносин</v>
      </c>
      <c r="E174" s="80"/>
      <c r="F174" s="82">
        <f>SUM(F175:F180)</f>
        <v>3262050</v>
      </c>
      <c r="G174" s="82">
        <f t="shared" ref="G174:P174" si="46">SUM(G175:G180)</f>
        <v>3262050</v>
      </c>
      <c r="H174" s="82">
        <f t="shared" si="46"/>
        <v>2366800</v>
      </c>
      <c r="I174" s="82">
        <f t="shared" si="46"/>
        <v>81250</v>
      </c>
      <c r="J174" s="82">
        <f t="shared" si="46"/>
        <v>0</v>
      </c>
      <c r="K174" s="82">
        <f t="shared" si="46"/>
        <v>71500</v>
      </c>
      <c r="L174" s="82">
        <f t="shared" si="46"/>
        <v>71500</v>
      </c>
      <c r="M174" s="82">
        <f t="shared" si="46"/>
        <v>0</v>
      </c>
      <c r="N174" s="82">
        <f t="shared" si="46"/>
        <v>0</v>
      </c>
      <c r="O174" s="82">
        <f t="shared" si="46"/>
        <v>0</v>
      </c>
      <c r="P174" s="82">
        <f t="shared" si="46"/>
        <v>71500</v>
      </c>
      <c r="Q174" s="77">
        <f t="shared" ref="Q174:Q180" si="47">F174+K174</f>
        <v>3333550</v>
      </c>
      <c r="T174" s="19"/>
    </row>
    <row r="175" spans="1:20" s="8" customFormat="1" ht="73.95" customHeight="1">
      <c r="A175" s="61" t="s">
        <v>345</v>
      </c>
      <c r="B175" s="61" t="s">
        <v>356</v>
      </c>
      <c r="C175" s="61" t="s">
        <v>60</v>
      </c>
      <c r="D175" s="109" t="s">
        <v>303</v>
      </c>
      <c r="E175" s="7"/>
      <c r="F175" s="4">
        <f>G175</f>
        <v>3054400</v>
      </c>
      <c r="G175" s="4">
        <f>2905400+137000+12000</f>
        <v>3054400</v>
      </c>
      <c r="H175" s="12">
        <f>2356800+10000</f>
        <v>2366800</v>
      </c>
      <c r="I175" s="12">
        <f>77350+3900</f>
        <v>81250</v>
      </c>
      <c r="J175" s="12"/>
      <c r="K175" s="4">
        <f t="shared" ref="K175:K180" si="48">M175+P175</f>
        <v>0</v>
      </c>
      <c r="L175" s="4"/>
      <c r="M175" s="49"/>
      <c r="N175" s="4"/>
      <c r="O175" s="12"/>
      <c r="P175" s="12">
        <f>L175</f>
        <v>0</v>
      </c>
      <c r="Q175" s="4">
        <f t="shared" si="47"/>
        <v>3054400</v>
      </c>
      <c r="T175" s="19"/>
    </row>
    <row r="176" spans="1:20" s="8" customFormat="1" ht="36" customHeight="1">
      <c r="A176" s="61" t="s">
        <v>346</v>
      </c>
      <c r="B176" s="61" t="s">
        <v>279</v>
      </c>
      <c r="C176" s="61" t="s">
        <v>71</v>
      </c>
      <c r="D176" s="109" t="s">
        <v>138</v>
      </c>
      <c r="E176" s="7"/>
      <c r="F176" s="38">
        <f>G176</f>
        <v>36000</v>
      </c>
      <c r="G176" s="38">
        <f>35000+1000</f>
        <v>36000</v>
      </c>
      <c r="H176" s="12"/>
      <c r="I176" s="12"/>
      <c r="J176" s="12"/>
      <c r="K176" s="4">
        <f t="shared" si="48"/>
        <v>0</v>
      </c>
      <c r="L176" s="4"/>
      <c r="M176" s="49"/>
      <c r="N176" s="4"/>
      <c r="O176" s="12"/>
      <c r="P176" s="12"/>
      <c r="Q176" s="4">
        <f t="shared" si="47"/>
        <v>36000</v>
      </c>
      <c r="T176" s="19"/>
    </row>
    <row r="177" spans="1:20" s="8" customFormat="1" ht="20.25" customHeight="1">
      <c r="A177" s="61" t="s">
        <v>347</v>
      </c>
      <c r="B177" s="61" t="s">
        <v>375</v>
      </c>
      <c r="C177" s="61" t="s">
        <v>69</v>
      </c>
      <c r="D177" s="121" t="s">
        <v>115</v>
      </c>
      <c r="E177" s="7"/>
      <c r="F177" s="38">
        <f>G177</f>
        <v>106650</v>
      </c>
      <c r="G177" s="38">
        <f>65000+41650</f>
        <v>106650</v>
      </c>
      <c r="H177" s="12"/>
      <c r="I177" s="12"/>
      <c r="J177" s="12"/>
      <c r="K177" s="4">
        <f t="shared" si="48"/>
        <v>0</v>
      </c>
      <c r="L177" s="4"/>
      <c r="M177" s="49"/>
      <c r="N177" s="4"/>
      <c r="O177" s="12"/>
      <c r="P177" s="12"/>
      <c r="Q177" s="4">
        <f t="shared" si="47"/>
        <v>106650</v>
      </c>
      <c r="T177" s="19"/>
    </row>
    <row r="178" spans="1:20" s="8" customFormat="1" ht="37.950000000000003" customHeight="1">
      <c r="A178" s="61" t="s">
        <v>348</v>
      </c>
      <c r="B178" s="61" t="s">
        <v>453</v>
      </c>
      <c r="C178" s="61" t="s">
        <v>209</v>
      </c>
      <c r="D178" s="110" t="s">
        <v>264</v>
      </c>
      <c r="E178" s="7"/>
      <c r="F178" s="4">
        <f>G178</f>
        <v>0</v>
      </c>
      <c r="G178" s="4"/>
      <c r="H178" s="12"/>
      <c r="I178" s="12"/>
      <c r="J178" s="12"/>
      <c r="K178" s="4">
        <f t="shared" si="48"/>
        <v>26500</v>
      </c>
      <c r="L178" s="4">
        <f>11000+15500</f>
        <v>26500</v>
      </c>
      <c r="M178" s="49"/>
      <c r="N178" s="4"/>
      <c r="O178" s="12"/>
      <c r="P178" s="12">
        <f>L178</f>
        <v>26500</v>
      </c>
      <c r="Q178" s="4">
        <f t="shared" si="47"/>
        <v>26500</v>
      </c>
      <c r="T178" s="19"/>
    </row>
    <row r="179" spans="1:20" s="8" customFormat="1" ht="39" customHeight="1">
      <c r="A179" s="61" t="s">
        <v>479</v>
      </c>
      <c r="B179" s="61" t="s">
        <v>463</v>
      </c>
      <c r="C179" s="61" t="s">
        <v>464</v>
      </c>
      <c r="D179" s="111" t="s">
        <v>465</v>
      </c>
      <c r="E179" s="7"/>
      <c r="F179" s="4">
        <f>G179+J179</f>
        <v>65000</v>
      </c>
      <c r="G179" s="4">
        <f>35000+30000</f>
        <v>65000</v>
      </c>
      <c r="H179" s="12"/>
      <c r="I179" s="12"/>
      <c r="J179" s="12"/>
      <c r="K179" s="4">
        <f t="shared" si="48"/>
        <v>45000</v>
      </c>
      <c r="L179" s="4">
        <f>25000+20000</f>
        <v>45000</v>
      </c>
      <c r="M179" s="4"/>
      <c r="N179" s="4"/>
      <c r="O179" s="12"/>
      <c r="P179" s="12">
        <f>25000+20000</f>
        <v>45000</v>
      </c>
      <c r="Q179" s="4">
        <f>F179+K179</f>
        <v>110000</v>
      </c>
      <c r="T179" s="19"/>
    </row>
    <row r="180" spans="1:20" s="8" customFormat="1" ht="81.75" hidden="1" customHeight="1">
      <c r="A180" s="61" t="s">
        <v>349</v>
      </c>
      <c r="B180" s="61" t="s">
        <v>454</v>
      </c>
      <c r="C180" s="61" t="s">
        <v>209</v>
      </c>
      <c r="D180" s="35" t="s">
        <v>255</v>
      </c>
      <c r="E180" s="7"/>
      <c r="F180" s="4">
        <f>G180</f>
        <v>0</v>
      </c>
      <c r="G180" s="4"/>
      <c r="H180" s="12"/>
      <c r="I180" s="12"/>
      <c r="J180" s="12"/>
      <c r="K180" s="4">
        <f t="shared" si="48"/>
        <v>0</v>
      </c>
      <c r="L180" s="4"/>
      <c r="M180" s="49"/>
      <c r="N180" s="4"/>
      <c r="O180" s="12"/>
      <c r="P180" s="12">
        <f>L180</f>
        <v>0</v>
      </c>
      <c r="Q180" s="4">
        <f t="shared" si="47"/>
        <v>0</v>
      </c>
      <c r="T180" s="19"/>
    </row>
    <row r="181" spans="1:20" s="23" customFormat="1" ht="42.6" customHeight="1">
      <c r="A181" s="69" t="s">
        <v>201</v>
      </c>
      <c r="B181" s="99">
        <v>3700000</v>
      </c>
      <c r="C181" s="78"/>
      <c r="D181" s="79" t="s">
        <v>5</v>
      </c>
      <c r="E181" s="78" t="s">
        <v>5</v>
      </c>
      <c r="F181" s="100">
        <f>F182</f>
        <v>11861955.9</v>
      </c>
      <c r="G181" s="100">
        <f t="shared" ref="G181:P181" si="49">G182</f>
        <v>6813064</v>
      </c>
      <c r="H181" s="73">
        <f t="shared" si="49"/>
        <v>4908000</v>
      </c>
      <c r="I181" s="73">
        <f t="shared" si="49"/>
        <v>114000</v>
      </c>
      <c r="J181" s="73">
        <f t="shared" si="49"/>
        <v>2200000</v>
      </c>
      <c r="K181" s="72">
        <f t="shared" si="49"/>
        <v>62000</v>
      </c>
      <c r="L181" s="73">
        <f t="shared" si="49"/>
        <v>62000</v>
      </c>
      <c r="M181" s="73">
        <f t="shared" si="49"/>
        <v>0</v>
      </c>
      <c r="N181" s="73">
        <f t="shared" si="49"/>
        <v>0</v>
      </c>
      <c r="O181" s="73">
        <f t="shared" si="49"/>
        <v>0</v>
      </c>
      <c r="P181" s="73">
        <f t="shared" si="49"/>
        <v>62000</v>
      </c>
      <c r="Q181" s="72">
        <f t="shared" si="37"/>
        <v>11923955.9</v>
      </c>
      <c r="R181" s="14"/>
      <c r="T181" s="21"/>
    </row>
    <row r="182" spans="1:20" s="23" customFormat="1" ht="40.950000000000003" customHeight="1">
      <c r="A182" s="74" t="s">
        <v>202</v>
      </c>
      <c r="B182" s="101">
        <v>3710000</v>
      </c>
      <c r="C182" s="80"/>
      <c r="D182" s="81" t="str">
        <f>D181</f>
        <v>Фінансове управління міської ради</v>
      </c>
      <c r="E182" s="80"/>
      <c r="F182" s="102">
        <f>SUM(F183:F191)</f>
        <v>11861955.9</v>
      </c>
      <c r="G182" s="102">
        <f t="shared" ref="G182:P182" si="50">SUM(G183:G191)</f>
        <v>6813064</v>
      </c>
      <c r="H182" s="102">
        <f t="shared" si="50"/>
        <v>4908000</v>
      </c>
      <c r="I182" s="102">
        <f t="shared" si="50"/>
        <v>114000</v>
      </c>
      <c r="J182" s="102">
        <f t="shared" si="50"/>
        <v>2200000</v>
      </c>
      <c r="K182" s="102">
        <f t="shared" si="50"/>
        <v>62000</v>
      </c>
      <c r="L182" s="102">
        <f t="shared" si="50"/>
        <v>62000</v>
      </c>
      <c r="M182" s="102">
        <f t="shared" si="50"/>
        <v>0</v>
      </c>
      <c r="N182" s="102">
        <f t="shared" si="50"/>
        <v>0</v>
      </c>
      <c r="O182" s="102">
        <f t="shared" si="50"/>
        <v>0</v>
      </c>
      <c r="P182" s="102">
        <f t="shared" si="50"/>
        <v>62000</v>
      </c>
      <c r="Q182" s="82">
        <f t="shared" si="37"/>
        <v>11923955.9</v>
      </c>
      <c r="R182" s="14"/>
      <c r="T182" s="21"/>
    </row>
    <row r="183" spans="1:20" s="8" customFormat="1" ht="74.400000000000006" customHeight="1">
      <c r="A183" s="61" t="s">
        <v>203</v>
      </c>
      <c r="B183" s="61" t="s">
        <v>356</v>
      </c>
      <c r="C183" s="61" t="s">
        <v>60</v>
      </c>
      <c r="D183" s="109" t="s">
        <v>303</v>
      </c>
      <c r="E183" s="7" t="s">
        <v>2</v>
      </c>
      <c r="F183" s="4">
        <f>G183+J183</f>
        <v>6196212</v>
      </c>
      <c r="G183" s="4">
        <f>5063500+12+247000-2000-12300+900000</f>
        <v>6196212</v>
      </c>
      <c r="H183" s="12">
        <f>4158000+750000</f>
        <v>4908000</v>
      </c>
      <c r="I183" s="12">
        <v>114000</v>
      </c>
      <c r="J183" s="12"/>
      <c r="K183" s="4">
        <f t="shared" ref="K183:K191" si="51">M183+P183</f>
        <v>12000</v>
      </c>
      <c r="L183" s="4">
        <f>10000+2000</f>
        <v>12000</v>
      </c>
      <c r="M183" s="12"/>
      <c r="N183" s="4"/>
      <c r="O183" s="12"/>
      <c r="P183" s="12">
        <f>10000+2000</f>
        <v>12000</v>
      </c>
      <c r="Q183" s="4">
        <f t="shared" si="37"/>
        <v>6208212</v>
      </c>
      <c r="T183" s="19"/>
    </row>
    <row r="184" spans="1:20" s="8" customFormat="1" ht="34.950000000000003" customHeight="1">
      <c r="A184" s="61" t="s">
        <v>252</v>
      </c>
      <c r="B184" s="61" t="s">
        <v>279</v>
      </c>
      <c r="C184" s="61" t="s">
        <v>71</v>
      </c>
      <c r="D184" s="109" t="s">
        <v>138</v>
      </c>
      <c r="E184" s="7"/>
      <c r="F184" s="38">
        <f>G184+J184</f>
        <v>3250</v>
      </c>
      <c r="G184" s="38">
        <f>2250+1000</f>
        <v>3250</v>
      </c>
      <c r="H184" s="12"/>
      <c r="I184" s="12"/>
      <c r="J184" s="12"/>
      <c r="K184" s="4">
        <f t="shared" si="51"/>
        <v>0</v>
      </c>
      <c r="L184" s="4"/>
      <c r="M184" s="12"/>
      <c r="N184" s="4"/>
      <c r="O184" s="12"/>
      <c r="P184" s="12"/>
      <c r="Q184" s="4">
        <f t="shared" si="37"/>
        <v>3250</v>
      </c>
      <c r="T184" s="19"/>
    </row>
    <row r="185" spans="1:20" s="8" customFormat="1" ht="44.4" customHeight="1">
      <c r="A185" s="61" t="s">
        <v>480</v>
      </c>
      <c r="B185" s="61" t="s">
        <v>463</v>
      </c>
      <c r="C185" s="61" t="s">
        <v>464</v>
      </c>
      <c r="D185" s="111" t="s">
        <v>465</v>
      </c>
      <c r="E185" s="13"/>
      <c r="F185" s="4">
        <f>G185+J185</f>
        <v>60000</v>
      </c>
      <c r="G185" s="45">
        <v>60000</v>
      </c>
      <c r="H185" s="46"/>
      <c r="I185" s="46"/>
      <c r="J185" s="46"/>
      <c r="K185" s="4">
        <f t="shared" si="51"/>
        <v>50000</v>
      </c>
      <c r="L185" s="45">
        <v>50000</v>
      </c>
      <c r="M185" s="45"/>
      <c r="N185" s="45"/>
      <c r="O185" s="46"/>
      <c r="P185" s="46">
        <v>50000</v>
      </c>
      <c r="Q185" s="4">
        <f>F185+K185</f>
        <v>110000</v>
      </c>
      <c r="T185" s="19"/>
    </row>
    <row r="186" spans="1:20" s="8" customFormat="1" ht="32.25" hidden="1" customHeight="1">
      <c r="A186" s="61" t="s">
        <v>334</v>
      </c>
      <c r="B186" s="61" t="s">
        <v>455</v>
      </c>
      <c r="C186" s="61" t="s">
        <v>279</v>
      </c>
      <c r="D186" s="109" t="s">
        <v>335</v>
      </c>
      <c r="E186" s="7"/>
      <c r="F186" s="38">
        <f>G186+J186</f>
        <v>0</v>
      </c>
      <c r="G186" s="38"/>
      <c r="H186" s="12"/>
      <c r="I186" s="12"/>
      <c r="J186" s="52"/>
      <c r="K186" s="4"/>
      <c r="L186" s="4"/>
      <c r="M186" s="12"/>
      <c r="N186" s="4"/>
      <c r="O186" s="12"/>
      <c r="P186" s="12"/>
      <c r="Q186" s="4">
        <f t="shared" si="37"/>
        <v>0</v>
      </c>
      <c r="T186" s="19"/>
    </row>
    <row r="187" spans="1:20" s="8" customFormat="1" ht="39" customHeight="1">
      <c r="A187" s="61" t="s">
        <v>313</v>
      </c>
      <c r="B187" s="61" t="s">
        <v>456</v>
      </c>
      <c r="C187" s="61" t="s">
        <v>314</v>
      </c>
      <c r="D187" s="109" t="s">
        <v>315</v>
      </c>
      <c r="E187" s="7"/>
      <c r="F187" s="4">
        <f>G187+J187</f>
        <v>277602</v>
      </c>
      <c r="G187" s="4">
        <v>277602</v>
      </c>
      <c r="H187" s="12"/>
      <c r="I187" s="12"/>
      <c r="J187" s="12"/>
      <c r="K187" s="4">
        <f t="shared" si="51"/>
        <v>0</v>
      </c>
      <c r="L187" s="4"/>
      <c r="M187" s="12"/>
      <c r="N187" s="4"/>
      <c r="O187" s="12"/>
      <c r="P187" s="12"/>
      <c r="Q187" s="4">
        <f t="shared" si="37"/>
        <v>277602</v>
      </c>
      <c r="T187" s="19"/>
    </row>
    <row r="188" spans="1:20" s="8" customFormat="1" ht="39" customHeight="1">
      <c r="A188" s="61" t="s">
        <v>204</v>
      </c>
      <c r="B188" s="61" t="s">
        <v>457</v>
      </c>
      <c r="C188" s="61" t="s">
        <v>71</v>
      </c>
      <c r="D188" s="109" t="s">
        <v>91</v>
      </c>
      <c r="E188" s="7"/>
      <c r="F188" s="38">
        <f>2828295+3666706+4383689+100000-3000000-211500-2828295+986000+700000-400000-986000+2255988.9-60000+115200-1409817-72386-758840-331000-218043-100+260430-31094-194800+32387+785000-509000-48000-274220-200000-622220-42000+2000000-70000-1625489-25000-1180000-20000-48000-250000+250000-50000-49000</f>
        <v>2848891.9000000004</v>
      </c>
      <c r="G188" s="4"/>
      <c r="H188" s="12"/>
      <c r="I188" s="12"/>
      <c r="J188" s="12"/>
      <c r="K188" s="4">
        <f t="shared" si="51"/>
        <v>0</v>
      </c>
      <c r="L188" s="4"/>
      <c r="M188" s="12"/>
      <c r="N188" s="4"/>
      <c r="O188" s="12"/>
      <c r="P188" s="12"/>
      <c r="Q188" s="38">
        <f>F188+K188</f>
        <v>2848891.9000000004</v>
      </c>
      <c r="T188" s="19"/>
    </row>
    <row r="189" spans="1:20" s="8" customFormat="1" ht="22.5" hidden="1" customHeight="1">
      <c r="A189" s="61" t="s">
        <v>285</v>
      </c>
      <c r="B189" s="61" t="s">
        <v>458</v>
      </c>
      <c r="C189" s="61" t="s">
        <v>279</v>
      </c>
      <c r="D189" s="33" t="s">
        <v>286</v>
      </c>
      <c r="E189" s="7"/>
      <c r="F189" s="4">
        <f>G189+J189</f>
        <v>0</v>
      </c>
      <c r="G189" s="4"/>
      <c r="H189" s="12"/>
      <c r="I189" s="12"/>
      <c r="J189" s="52"/>
      <c r="K189" s="4">
        <f t="shared" si="51"/>
        <v>0</v>
      </c>
      <c r="L189" s="4"/>
      <c r="M189" s="12"/>
      <c r="N189" s="4"/>
      <c r="O189" s="12"/>
      <c r="P189" s="12"/>
      <c r="Q189" s="38">
        <f t="shared" ref="Q189:Q190" si="52">F189+K189</f>
        <v>0</v>
      </c>
      <c r="T189" s="19"/>
    </row>
    <row r="190" spans="1:20" s="8" customFormat="1" ht="36.6" customHeight="1">
      <c r="A190" s="61" t="s">
        <v>285</v>
      </c>
      <c r="B190" s="61" t="s">
        <v>458</v>
      </c>
      <c r="C190" s="61" t="s">
        <v>279</v>
      </c>
      <c r="D190" s="109" t="s">
        <v>286</v>
      </c>
      <c r="E190" s="7"/>
      <c r="F190" s="4">
        <f>G190+J190</f>
        <v>2200000</v>
      </c>
      <c r="G190" s="4"/>
      <c r="H190" s="12"/>
      <c r="I190" s="12"/>
      <c r="J190" s="12">
        <f>2000000+200000</f>
        <v>2200000</v>
      </c>
      <c r="K190" s="4">
        <f t="shared" si="51"/>
        <v>0</v>
      </c>
      <c r="L190" s="4"/>
      <c r="M190" s="12"/>
      <c r="N190" s="4"/>
      <c r="O190" s="12"/>
      <c r="P190" s="12"/>
      <c r="Q190" s="38">
        <f t="shared" si="52"/>
        <v>2200000</v>
      </c>
      <c r="T190" s="19"/>
    </row>
    <row r="191" spans="1:20" s="8" customFormat="1" ht="75.599999999999994" customHeight="1">
      <c r="A191" s="61" t="s">
        <v>280</v>
      </c>
      <c r="B191" s="61" t="s">
        <v>459</v>
      </c>
      <c r="C191" s="61" t="s">
        <v>279</v>
      </c>
      <c r="D191" s="109" t="s">
        <v>281</v>
      </c>
      <c r="E191" s="7"/>
      <c r="F191" s="4">
        <f>G191+J191</f>
        <v>276000</v>
      </c>
      <c r="G191" s="4">
        <f>100000+176000</f>
        <v>276000</v>
      </c>
      <c r="H191" s="12"/>
      <c r="I191" s="12"/>
      <c r="J191" s="12"/>
      <c r="K191" s="4">
        <f t="shared" si="51"/>
        <v>0</v>
      </c>
      <c r="L191" s="4"/>
      <c r="M191" s="12"/>
      <c r="N191" s="4"/>
      <c r="O191" s="12"/>
      <c r="P191" s="12"/>
      <c r="Q191" s="4">
        <f t="shared" si="37"/>
        <v>276000</v>
      </c>
      <c r="T191" s="19"/>
    </row>
    <row r="192" spans="1:20" s="14" customFormat="1" ht="51" customHeight="1">
      <c r="A192" s="128"/>
      <c r="B192" s="128"/>
      <c r="C192" s="128"/>
      <c r="D192" s="129" t="s">
        <v>205</v>
      </c>
      <c r="E192" s="128" t="s">
        <v>13</v>
      </c>
      <c r="F192" s="82">
        <f>F11+F48+F111+F123+F134+F181+F68+F173</f>
        <v>433972844.56</v>
      </c>
      <c r="G192" s="82">
        <f>G11+G48+G111+G123+G134+G181+G68+G173</f>
        <v>414711095.66000003</v>
      </c>
      <c r="H192" s="82">
        <f>H11+H48+H111+H123+H134+H181+H68+H173</f>
        <v>220979307.38</v>
      </c>
      <c r="I192" s="82">
        <f>I11+I48+I111+I123+I134+I181+I68+I173</f>
        <v>31694434</v>
      </c>
      <c r="J192" s="77">
        <f>J11+J48+J111+J123+J134+J181+J68</f>
        <v>16412857</v>
      </c>
      <c r="K192" s="82">
        <f>K11+K48+K111+K123+K134+K181+K68+K173</f>
        <v>109464990.47999999</v>
      </c>
      <c r="L192" s="82">
        <f>L11+L48+L111+L123+L134+L181+L68+L173</f>
        <v>98382513.359999999</v>
      </c>
      <c r="M192" s="82">
        <f>M11+M48+M111+M123+M134+M181+M68+M173</f>
        <v>10612477.119999999</v>
      </c>
      <c r="N192" s="77">
        <f>N11+N48+N111+N123+N134+N181+N68</f>
        <v>474400</v>
      </c>
      <c r="O192" s="77">
        <f>O11+O48+O111+O123+O134+O181+O68</f>
        <v>296300</v>
      </c>
      <c r="P192" s="82">
        <f>P11+P48+P111+P123+P134+P181+P68+P173</f>
        <v>98852513.359999999</v>
      </c>
      <c r="Q192" s="82">
        <f t="shared" si="37"/>
        <v>543437835.03999996</v>
      </c>
      <c r="R192" s="107"/>
      <c r="S192" s="108"/>
      <c r="T192" s="15"/>
    </row>
    <row r="193" spans="1:20" s="14" customFormat="1" ht="27" customHeight="1">
      <c r="A193" s="103"/>
      <c r="B193" s="103"/>
      <c r="C193" s="103"/>
      <c r="D193" s="104"/>
      <c r="E193" s="103"/>
      <c r="F193" s="105"/>
      <c r="G193" s="105"/>
      <c r="H193" s="105"/>
      <c r="I193" s="105"/>
      <c r="J193" s="106"/>
      <c r="K193" s="105"/>
      <c r="L193" s="105"/>
      <c r="M193" s="105"/>
      <c r="N193" s="106"/>
      <c r="O193" s="106"/>
      <c r="P193" s="105"/>
      <c r="Q193" s="105"/>
      <c r="R193" s="107"/>
      <c r="S193" s="108"/>
      <c r="T193" s="15"/>
    </row>
    <row r="194" spans="1:20" s="14" customFormat="1" ht="25.2" customHeight="1">
      <c r="A194" s="103"/>
      <c r="B194" s="103"/>
      <c r="C194" s="103"/>
      <c r="D194" s="104"/>
      <c r="E194" s="103"/>
      <c r="F194" s="105"/>
      <c r="G194" s="105"/>
      <c r="H194" s="105"/>
      <c r="I194" s="105"/>
      <c r="J194" s="106"/>
      <c r="K194" s="105"/>
      <c r="L194" s="105"/>
      <c r="M194" s="105"/>
      <c r="N194" s="106"/>
      <c r="O194" s="106"/>
      <c r="P194" s="105"/>
      <c r="Q194" s="105"/>
      <c r="R194" s="107"/>
      <c r="S194" s="108"/>
      <c r="T194" s="15"/>
    </row>
    <row r="195" spans="1:20" s="14" customFormat="1" ht="34.5" customHeight="1">
      <c r="A195" s="103"/>
      <c r="B195" s="103"/>
      <c r="C195" s="103"/>
      <c r="D195" s="104" t="s">
        <v>518</v>
      </c>
      <c r="E195" s="103"/>
      <c r="F195" s="105"/>
      <c r="G195" s="105"/>
      <c r="H195" s="105"/>
      <c r="I195" s="105"/>
      <c r="J195" s="106"/>
      <c r="K195" s="105"/>
      <c r="L195" s="105"/>
      <c r="M195" s="105" t="s">
        <v>519</v>
      </c>
      <c r="N195" s="106"/>
      <c r="O195" s="106"/>
      <c r="P195" s="105"/>
      <c r="Q195" s="105"/>
      <c r="R195" s="107"/>
      <c r="S195" s="108"/>
      <c r="T195" s="15"/>
    </row>
    <row r="196" spans="1:20" s="14" customFormat="1" ht="57" customHeight="1">
      <c r="A196" s="131"/>
      <c r="B196" s="131"/>
      <c r="C196" s="131"/>
      <c r="D196" s="131"/>
      <c r="E196" s="131"/>
      <c r="F196" s="131"/>
      <c r="G196" s="131"/>
      <c r="H196" s="131"/>
      <c r="I196" s="131"/>
      <c r="J196" s="131"/>
      <c r="K196" s="131"/>
      <c r="L196" s="131"/>
      <c r="M196" s="131"/>
      <c r="N196" s="131"/>
      <c r="O196" s="131"/>
      <c r="P196" s="131"/>
      <c r="Q196" s="131"/>
      <c r="T196" s="15"/>
    </row>
    <row r="197" spans="1:20" s="28" customFormat="1" ht="21.75" customHeight="1">
      <c r="A197" s="131"/>
      <c r="B197" s="131"/>
      <c r="C197" s="131"/>
      <c r="D197" s="131"/>
      <c r="E197" s="131"/>
      <c r="F197" s="131"/>
      <c r="G197" s="131"/>
      <c r="H197" s="131"/>
      <c r="I197" s="131"/>
      <c r="J197" s="131"/>
      <c r="K197" s="131"/>
      <c r="L197" s="131"/>
      <c r="M197" s="131"/>
      <c r="N197" s="131"/>
      <c r="O197" s="131"/>
      <c r="P197" s="131"/>
      <c r="Q197" s="131"/>
      <c r="T197" s="29"/>
    </row>
    <row r="200" spans="1:20" ht="24.75" customHeight="1">
      <c r="Q200" s="130"/>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6:Q197"/>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37" fitToHeight="4" orientation="landscape" r:id="rId1"/>
  <headerFooter alignWithMargins="0"/>
  <rowBreaks count="4" manualBreakCount="4">
    <brk id="38" max="16" man="1"/>
    <brk id="71" max="16" man="1"/>
    <brk id="120" max="16" man="1"/>
    <brk id="15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2020-08-26T05:14:34Z</cp:lastPrinted>
  <dcterms:created xsi:type="dcterms:W3CDTF">2002-10-09T16:25:59Z</dcterms:created>
  <dcterms:modified xsi:type="dcterms:W3CDTF">2020-09-18T13:51:40Z</dcterms:modified>
</cp:coreProperties>
</file>