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2)" sheetId="5" r:id="rId1"/>
  </sheets>
  <definedNames>
    <definedName name="_xlnm._FilterDatabase" localSheetId="0" hidden="1">'дод 3 (2)'!$E$1:$Q$200</definedName>
    <definedName name="_xlnm.Print_Titles" localSheetId="0">'дод 3 (2)'!$6:$10</definedName>
    <definedName name="_xlnm.Print_Area" localSheetId="0">'дод 3 (2)'!$A$1:$Q$198</definedName>
  </definedNames>
  <calcPr calcId="125725"/>
</workbook>
</file>

<file path=xl/calcChain.xml><?xml version="1.0" encoding="utf-8"?>
<calcChain xmlns="http://schemas.openxmlformats.org/spreadsheetml/2006/main">
  <c r="P16" i="5"/>
  <c r="K16" s="1"/>
  <c r="L16"/>
  <c r="P134"/>
  <c r="K134" s="1"/>
  <c r="L134"/>
  <c r="L125" s="1"/>
  <c r="L124" s="1"/>
  <c r="G128"/>
  <c r="F128" s="1"/>
  <c r="G164"/>
  <c r="G171"/>
  <c r="P166"/>
  <c r="K166" s="1"/>
  <c r="L166"/>
  <c r="L156"/>
  <c r="G44"/>
  <c r="F44" s="1"/>
  <c r="G149"/>
  <c r="L154"/>
  <c r="P154" s="1"/>
  <c r="K154" s="1"/>
  <c r="L164"/>
  <c r="P164" s="1"/>
  <c r="K164" s="1"/>
  <c r="G54"/>
  <c r="Q192"/>
  <c r="K192"/>
  <c r="G192"/>
  <c r="F192"/>
  <c r="Q191"/>
  <c r="K191"/>
  <c r="J191"/>
  <c r="F191"/>
  <c r="Q190"/>
  <c r="K190"/>
  <c r="F190"/>
  <c r="K189"/>
  <c r="F189"/>
  <c r="Q189" s="1"/>
  <c r="K188"/>
  <c r="F188"/>
  <c r="Q188" s="1"/>
  <c r="Q187"/>
  <c r="F187"/>
  <c r="K186"/>
  <c r="F186"/>
  <c r="Q186" s="1"/>
  <c r="K185"/>
  <c r="G185"/>
  <c r="G183" s="1"/>
  <c r="G182" s="1"/>
  <c r="P184"/>
  <c r="L184"/>
  <c r="L183" s="1"/>
  <c r="L182" s="1"/>
  <c r="K184"/>
  <c r="K183" s="1"/>
  <c r="K182" s="1"/>
  <c r="H184"/>
  <c r="G184"/>
  <c r="F184"/>
  <c r="Q184" s="1"/>
  <c r="P183"/>
  <c r="O183"/>
  <c r="N183"/>
  <c r="M183"/>
  <c r="M182" s="1"/>
  <c r="J183"/>
  <c r="I183"/>
  <c r="I182" s="1"/>
  <c r="H183"/>
  <c r="D183"/>
  <c r="P182"/>
  <c r="O182"/>
  <c r="N182"/>
  <c r="J182"/>
  <c r="H182"/>
  <c r="P181"/>
  <c r="K181" s="1"/>
  <c r="F181"/>
  <c r="P180"/>
  <c r="L180"/>
  <c r="K180"/>
  <c r="G180"/>
  <c r="F180"/>
  <c r="Q180" s="1"/>
  <c r="P179"/>
  <c r="K179" s="1"/>
  <c r="L179"/>
  <c r="F179"/>
  <c r="Q179" s="1"/>
  <c r="Q178"/>
  <c r="K178"/>
  <c r="G178"/>
  <c r="F178"/>
  <c r="Q177"/>
  <c r="K177"/>
  <c r="G177"/>
  <c r="F177"/>
  <c r="P176"/>
  <c r="K176"/>
  <c r="I176"/>
  <c r="H176"/>
  <c r="G176"/>
  <c r="F176" s="1"/>
  <c r="P175"/>
  <c r="P174" s="1"/>
  <c r="O175"/>
  <c r="N175"/>
  <c r="M175"/>
  <c r="L175"/>
  <c r="L174" s="1"/>
  <c r="J175"/>
  <c r="I175"/>
  <c r="H175"/>
  <c r="H174" s="1"/>
  <c r="G175"/>
  <c r="D175"/>
  <c r="O174"/>
  <c r="N174"/>
  <c r="M174"/>
  <c r="J174"/>
  <c r="I174"/>
  <c r="G174"/>
  <c r="Q173"/>
  <c r="K173"/>
  <c r="F173"/>
  <c r="M172"/>
  <c r="K172" s="1"/>
  <c r="Q172" s="1"/>
  <c r="F172"/>
  <c r="K171"/>
  <c r="Q170"/>
  <c r="K170"/>
  <c r="F170"/>
  <c r="P169"/>
  <c r="K169" s="1"/>
  <c r="G169"/>
  <c r="F169" s="1"/>
  <c r="Q169" s="1"/>
  <c r="J168"/>
  <c r="F168" s="1"/>
  <c r="Q168" s="1"/>
  <c r="P167"/>
  <c r="K167" s="1"/>
  <c r="L167"/>
  <c r="F167"/>
  <c r="Q167" s="1"/>
  <c r="F166"/>
  <c r="Q165"/>
  <c r="K165"/>
  <c r="F165"/>
  <c r="M164"/>
  <c r="P163"/>
  <c r="K163" s="1"/>
  <c r="L163"/>
  <c r="F163"/>
  <c r="P162"/>
  <c r="K162" s="1"/>
  <c r="L162"/>
  <c r="F162"/>
  <c r="Q162" s="1"/>
  <c r="P161"/>
  <c r="K161"/>
  <c r="F161"/>
  <c r="Q161" s="1"/>
  <c r="P160"/>
  <c r="K160"/>
  <c r="F160"/>
  <c r="Q160" s="1"/>
  <c r="P159"/>
  <c r="K159"/>
  <c r="F159"/>
  <c r="Q159" s="1"/>
  <c r="P158"/>
  <c r="K158"/>
  <c r="F158"/>
  <c r="Q158" s="1"/>
  <c r="L157"/>
  <c r="P157" s="1"/>
  <c r="K157" s="1"/>
  <c r="F157"/>
  <c r="P156"/>
  <c r="K156" s="1"/>
  <c r="F156"/>
  <c r="P155"/>
  <c r="K155" s="1"/>
  <c r="F155"/>
  <c r="F154"/>
  <c r="P153"/>
  <c r="K153" s="1"/>
  <c r="Q153" s="1"/>
  <c r="L153"/>
  <c r="P152"/>
  <c r="K152" s="1"/>
  <c r="L152"/>
  <c r="F152"/>
  <c r="P151"/>
  <c r="K151"/>
  <c r="F151"/>
  <c r="Q151" s="1"/>
  <c r="K150"/>
  <c r="G150"/>
  <c r="F150"/>
  <c r="Q150" s="1"/>
  <c r="L149"/>
  <c r="P149" s="1"/>
  <c r="K149" s="1"/>
  <c r="J149"/>
  <c r="F149"/>
  <c r="P148"/>
  <c r="K148" s="1"/>
  <c r="J148"/>
  <c r="F148"/>
  <c r="Q147"/>
  <c r="K147"/>
  <c r="F147"/>
  <c r="P146"/>
  <c r="K146" s="1"/>
  <c r="J146"/>
  <c r="F146"/>
  <c r="Q146" s="1"/>
  <c r="K145"/>
  <c r="G145"/>
  <c r="F145"/>
  <c r="Q145" s="1"/>
  <c r="Q144"/>
  <c r="K144"/>
  <c r="F144"/>
  <c r="Q143"/>
  <c r="K143"/>
  <c r="F143"/>
  <c r="P142"/>
  <c r="K142" s="1"/>
  <c r="F142"/>
  <c r="Q142" s="1"/>
  <c r="K141"/>
  <c r="F141"/>
  <c r="Q141" s="1"/>
  <c r="P140"/>
  <c r="K140"/>
  <c r="F140"/>
  <c r="Q140" s="1"/>
  <c r="K139"/>
  <c r="F139"/>
  <c r="Q139" s="1"/>
  <c r="K138"/>
  <c r="G138"/>
  <c r="F138"/>
  <c r="Q138" s="1"/>
  <c r="K137"/>
  <c r="G137"/>
  <c r="F137"/>
  <c r="Q137" s="1"/>
  <c r="O136"/>
  <c r="N136"/>
  <c r="N135" s="1"/>
  <c r="M136"/>
  <c r="M135" s="1"/>
  <c r="J136"/>
  <c r="J135" s="1"/>
  <c r="I136"/>
  <c r="I135" s="1"/>
  <c r="H136"/>
  <c r="D136"/>
  <c r="O135"/>
  <c r="H135"/>
  <c r="G134"/>
  <c r="F134" s="1"/>
  <c r="P133"/>
  <c r="K133" s="1"/>
  <c r="Q133" s="1"/>
  <c r="F133"/>
  <c r="P132"/>
  <c r="K132" s="1"/>
  <c r="L132"/>
  <c r="G132"/>
  <c r="F132" s="1"/>
  <c r="K131"/>
  <c r="G131"/>
  <c r="F131" s="1"/>
  <c r="Q131" s="1"/>
  <c r="K130"/>
  <c r="H130"/>
  <c r="H125" s="1"/>
  <c r="H124" s="1"/>
  <c r="G130"/>
  <c r="F130" s="1"/>
  <c r="Q130" s="1"/>
  <c r="K129"/>
  <c r="G129"/>
  <c r="F129" s="1"/>
  <c r="Q129" s="1"/>
  <c r="P128"/>
  <c r="L128"/>
  <c r="Q127"/>
  <c r="G127"/>
  <c r="F127"/>
  <c r="P126"/>
  <c r="K126" s="1"/>
  <c r="L126"/>
  <c r="I126"/>
  <c r="H126"/>
  <c r="G126"/>
  <c r="F126"/>
  <c r="O125"/>
  <c r="N125"/>
  <c r="M125"/>
  <c r="M124" s="1"/>
  <c r="J125"/>
  <c r="I125"/>
  <c r="I124" s="1"/>
  <c r="D125"/>
  <c r="O124"/>
  <c r="N124"/>
  <c r="J124"/>
  <c r="K123"/>
  <c r="G123"/>
  <c r="F123"/>
  <c r="Q123" s="1"/>
  <c r="P122"/>
  <c r="K122" s="1"/>
  <c r="F122"/>
  <c r="L121"/>
  <c r="P121" s="1"/>
  <c r="G121"/>
  <c r="F121" s="1"/>
  <c r="K120"/>
  <c r="H120"/>
  <c r="G120"/>
  <c r="F120" s="1"/>
  <c r="Q120" s="1"/>
  <c r="P119"/>
  <c r="K119" s="1"/>
  <c r="G119"/>
  <c r="F119"/>
  <c r="P118"/>
  <c r="L118"/>
  <c r="K118"/>
  <c r="I118"/>
  <c r="H118"/>
  <c r="G118"/>
  <c r="F118"/>
  <c r="Q118" s="1"/>
  <c r="K117"/>
  <c r="I117"/>
  <c r="H117"/>
  <c r="H113" s="1"/>
  <c r="H112" s="1"/>
  <c r="G117"/>
  <c r="F117" s="1"/>
  <c r="Q117" s="1"/>
  <c r="K116"/>
  <c r="I116"/>
  <c r="H116"/>
  <c r="G116"/>
  <c r="F116"/>
  <c r="Q116" s="1"/>
  <c r="K115"/>
  <c r="G115"/>
  <c r="G113" s="1"/>
  <c r="G112" s="1"/>
  <c r="F115"/>
  <c r="F113" s="1"/>
  <c r="Q114"/>
  <c r="P114"/>
  <c r="K114"/>
  <c r="I114"/>
  <c r="H114"/>
  <c r="G114"/>
  <c r="F114"/>
  <c r="O113"/>
  <c r="N113"/>
  <c r="M113"/>
  <c r="M112" s="1"/>
  <c r="L113"/>
  <c r="L112" s="1"/>
  <c r="J113"/>
  <c r="I113"/>
  <c r="I112" s="1"/>
  <c r="D113"/>
  <c r="O112"/>
  <c r="N112"/>
  <c r="J112"/>
  <c r="Q111"/>
  <c r="K111"/>
  <c r="F111"/>
  <c r="Q110"/>
  <c r="K110"/>
  <c r="F110"/>
  <c r="L109"/>
  <c r="L70" s="1"/>
  <c r="L69" s="1"/>
  <c r="K109"/>
  <c r="Q109" s="1"/>
  <c r="F108"/>
  <c r="Q108" s="1"/>
  <c r="P107"/>
  <c r="P70" s="1"/>
  <c r="P69" s="1"/>
  <c r="F107"/>
  <c r="Q106"/>
  <c r="K106"/>
  <c r="F106"/>
  <c r="K105"/>
  <c r="F105"/>
  <c r="Q105" s="1"/>
  <c r="K104"/>
  <c r="F104"/>
  <c r="Q104" s="1"/>
  <c r="K103"/>
  <c r="G103"/>
  <c r="F103"/>
  <c r="Q103" s="1"/>
  <c r="K102"/>
  <c r="G102"/>
  <c r="F102"/>
  <c r="Q102" s="1"/>
  <c r="Q101"/>
  <c r="K101"/>
  <c r="F101"/>
  <c r="K100"/>
  <c r="H100"/>
  <c r="G100"/>
  <c r="F100"/>
  <c r="Q100" s="1"/>
  <c r="P99"/>
  <c r="K99"/>
  <c r="H99"/>
  <c r="H70" s="1"/>
  <c r="H69" s="1"/>
  <c r="G99"/>
  <c r="F99" s="1"/>
  <c r="Q99" s="1"/>
  <c r="K98"/>
  <c r="F98"/>
  <c r="Q98" s="1"/>
  <c r="F97"/>
  <c r="Q97" s="1"/>
  <c r="Q96"/>
  <c r="K96"/>
  <c r="F96"/>
  <c r="K95"/>
  <c r="F95"/>
  <c r="Q95" s="1"/>
  <c r="K94"/>
  <c r="F94"/>
  <c r="Q94" s="1"/>
  <c r="Q93"/>
  <c r="K93"/>
  <c r="F93"/>
  <c r="Q92"/>
  <c r="K92"/>
  <c r="F92"/>
  <c r="K91"/>
  <c r="G91"/>
  <c r="F91" s="1"/>
  <c r="Q91" s="1"/>
  <c r="K90"/>
  <c r="F90"/>
  <c r="Q90" s="1"/>
  <c r="F89"/>
  <c r="Q89" s="1"/>
  <c r="Q88"/>
  <c r="K88"/>
  <c r="F88"/>
  <c r="K87"/>
  <c r="F87"/>
  <c r="Q87" s="1"/>
  <c r="K86"/>
  <c r="F86"/>
  <c r="Q86" s="1"/>
  <c r="Q85"/>
  <c r="K85"/>
  <c r="F85"/>
  <c r="Q84"/>
  <c r="K84"/>
  <c r="F84"/>
  <c r="K83"/>
  <c r="K81" s="1"/>
  <c r="F83"/>
  <c r="Q83" s="1"/>
  <c r="K82"/>
  <c r="F82"/>
  <c r="Q82" s="1"/>
  <c r="P81"/>
  <c r="O81"/>
  <c r="N81"/>
  <c r="N70" s="1"/>
  <c r="N69" s="1"/>
  <c r="M81"/>
  <c r="M70" s="1"/>
  <c r="M69" s="1"/>
  <c r="L81"/>
  <c r="J81"/>
  <c r="J70" s="1"/>
  <c r="J69" s="1"/>
  <c r="I81"/>
  <c r="I70" s="1"/>
  <c r="I69" s="1"/>
  <c r="H81"/>
  <c r="G81"/>
  <c r="Q80"/>
  <c r="K80"/>
  <c r="F80"/>
  <c r="Q79"/>
  <c r="K79"/>
  <c r="F79"/>
  <c r="K78"/>
  <c r="F78"/>
  <c r="Q78" s="1"/>
  <c r="K77"/>
  <c r="F77"/>
  <c r="Q77" s="1"/>
  <c r="Q76"/>
  <c r="K76"/>
  <c r="F76"/>
  <c r="Q75"/>
  <c r="K75"/>
  <c r="F75"/>
  <c r="K74"/>
  <c r="F74"/>
  <c r="Q74" s="1"/>
  <c r="K73"/>
  <c r="F73"/>
  <c r="Q73" s="1"/>
  <c r="K72"/>
  <c r="G72"/>
  <c r="F72"/>
  <c r="Q72" s="1"/>
  <c r="K71"/>
  <c r="H71"/>
  <c r="G71"/>
  <c r="F71" s="1"/>
  <c r="Q71" s="1"/>
  <c r="O70"/>
  <c r="O69" s="1"/>
  <c r="G70"/>
  <c r="G69" s="1"/>
  <c r="D70"/>
  <c r="K68"/>
  <c r="F68"/>
  <c r="Q68" s="1"/>
  <c r="P67"/>
  <c r="L67"/>
  <c r="L50" s="1"/>
  <c r="L49" s="1"/>
  <c r="K67"/>
  <c r="F67"/>
  <c r="Q67" s="1"/>
  <c r="K66"/>
  <c r="G66"/>
  <c r="F66" s="1"/>
  <c r="Q66" s="1"/>
  <c r="K65"/>
  <c r="F65"/>
  <c r="Q65" s="1"/>
  <c r="K64"/>
  <c r="F64"/>
  <c r="Q64" s="1"/>
  <c r="P63"/>
  <c r="L63"/>
  <c r="K63"/>
  <c r="F63"/>
  <c r="Q63" s="1"/>
  <c r="Q62"/>
  <c r="K62"/>
  <c r="P61"/>
  <c r="K61" s="1"/>
  <c r="L61"/>
  <c r="I61"/>
  <c r="H61"/>
  <c r="G61"/>
  <c r="F61" s="1"/>
  <c r="Q61" s="1"/>
  <c r="K60"/>
  <c r="I60"/>
  <c r="G60"/>
  <c r="F60"/>
  <c r="Q60" s="1"/>
  <c r="Q59"/>
  <c r="K59"/>
  <c r="F59"/>
  <c r="Q58"/>
  <c r="I57"/>
  <c r="H57"/>
  <c r="G57"/>
  <c r="F57" s="1"/>
  <c r="Q57" s="1"/>
  <c r="K56"/>
  <c r="G56"/>
  <c r="F56" s="1"/>
  <c r="Q56" s="1"/>
  <c r="P55"/>
  <c r="M55"/>
  <c r="K55" s="1"/>
  <c r="L55"/>
  <c r="I55"/>
  <c r="H55"/>
  <c r="G55"/>
  <c r="F55" s="1"/>
  <c r="Q55" s="1"/>
  <c r="P54"/>
  <c r="K54" s="1"/>
  <c r="L54"/>
  <c r="I54"/>
  <c r="H54"/>
  <c r="F54"/>
  <c r="Q54" s="1"/>
  <c r="P53"/>
  <c r="K53" s="1"/>
  <c r="L53"/>
  <c r="I53"/>
  <c r="H53"/>
  <c r="H50" s="1"/>
  <c r="H49" s="1"/>
  <c r="G53"/>
  <c r="F53" s="1"/>
  <c r="Q53" s="1"/>
  <c r="K52"/>
  <c r="G52"/>
  <c r="F52" s="1"/>
  <c r="Q52" s="1"/>
  <c r="K51"/>
  <c r="H51"/>
  <c r="G51"/>
  <c r="F51" s="1"/>
  <c r="Q51" s="1"/>
  <c r="O50"/>
  <c r="N50"/>
  <c r="M50"/>
  <c r="J50"/>
  <c r="I50"/>
  <c r="O49"/>
  <c r="N49"/>
  <c r="M49"/>
  <c r="J49"/>
  <c r="I49"/>
  <c r="G48"/>
  <c r="F48" s="1"/>
  <c r="Q48" s="1"/>
  <c r="K47"/>
  <c r="F47"/>
  <c r="Q47" s="1"/>
  <c r="K46"/>
  <c r="F46"/>
  <c r="Q46" s="1"/>
  <c r="K45"/>
  <c r="G45"/>
  <c r="F45"/>
  <c r="Q45" s="1"/>
  <c r="P44"/>
  <c r="K44" s="1"/>
  <c r="K43"/>
  <c r="G43"/>
  <c r="F43" s="1"/>
  <c r="Q43" s="1"/>
  <c r="L42"/>
  <c r="P42" s="1"/>
  <c r="K42" s="1"/>
  <c r="F42"/>
  <c r="K41"/>
  <c r="F41"/>
  <c r="Q41" s="1"/>
  <c r="K40"/>
  <c r="J40"/>
  <c r="G40"/>
  <c r="F40" s="1"/>
  <c r="Q40" s="1"/>
  <c r="P39"/>
  <c r="K39" s="1"/>
  <c r="L39"/>
  <c r="J39"/>
  <c r="G39"/>
  <c r="F39" s="1"/>
  <c r="K38"/>
  <c r="F38"/>
  <c r="Q38" s="1"/>
  <c r="P37"/>
  <c r="L37"/>
  <c r="K37"/>
  <c r="F37"/>
  <c r="Q37" s="1"/>
  <c r="L36"/>
  <c r="P36" s="1"/>
  <c r="K36" s="1"/>
  <c r="F36"/>
  <c r="Q36" s="1"/>
  <c r="P35"/>
  <c r="K35" s="1"/>
  <c r="Q35" s="1"/>
  <c r="L35"/>
  <c r="K34"/>
  <c r="F34"/>
  <c r="Q34" s="1"/>
  <c r="P33"/>
  <c r="L33"/>
  <c r="K33"/>
  <c r="F33"/>
  <c r="Q33" s="1"/>
  <c r="K32"/>
  <c r="G32"/>
  <c r="F32" s="1"/>
  <c r="Q32" s="1"/>
  <c r="P31"/>
  <c r="K31" s="1"/>
  <c r="L31"/>
  <c r="G31"/>
  <c r="F31"/>
  <c r="Q31" s="1"/>
  <c r="K30"/>
  <c r="G30"/>
  <c r="F30"/>
  <c r="Q30" s="1"/>
  <c r="Q29"/>
  <c r="K29"/>
  <c r="F29"/>
  <c r="K28"/>
  <c r="H28"/>
  <c r="G28"/>
  <c r="F28"/>
  <c r="Q28" s="1"/>
  <c r="Q27"/>
  <c r="K27"/>
  <c r="F27"/>
  <c r="K26"/>
  <c r="G26"/>
  <c r="F26" s="1"/>
  <c r="Q26" s="1"/>
  <c r="Q25"/>
  <c r="K25"/>
  <c r="F25"/>
  <c r="K24"/>
  <c r="F24"/>
  <c r="Q24" s="1"/>
  <c r="K23"/>
  <c r="G23"/>
  <c r="F23" s="1"/>
  <c r="Q23" s="1"/>
  <c r="K22"/>
  <c r="F22"/>
  <c r="Q22" s="1"/>
  <c r="K21"/>
  <c r="G21"/>
  <c r="F21"/>
  <c r="Q21" s="1"/>
  <c r="Q20"/>
  <c r="K20"/>
  <c r="F20"/>
  <c r="K19"/>
  <c r="G19"/>
  <c r="F19" s="1"/>
  <c r="Q19" s="1"/>
  <c r="P18"/>
  <c r="K18" s="1"/>
  <c r="L18"/>
  <c r="G18"/>
  <c r="F18" s="1"/>
  <c r="Q18" s="1"/>
  <c r="P17"/>
  <c r="L17"/>
  <c r="K17"/>
  <c r="G17"/>
  <c r="F17" s="1"/>
  <c r="Q17" s="1"/>
  <c r="G16"/>
  <c r="F16" s="1"/>
  <c r="K15"/>
  <c r="G15"/>
  <c r="F15" s="1"/>
  <c r="Q15" s="1"/>
  <c r="K14"/>
  <c r="G14"/>
  <c r="P13"/>
  <c r="L13"/>
  <c r="L12" s="1"/>
  <c r="L11" s="1"/>
  <c r="K13"/>
  <c r="H13"/>
  <c r="G13"/>
  <c r="F13"/>
  <c r="Q13" s="1"/>
  <c r="O12"/>
  <c r="N12"/>
  <c r="N11" s="1"/>
  <c r="N193" s="1"/>
  <c r="M12"/>
  <c r="M11" s="1"/>
  <c r="M193" s="1"/>
  <c r="J12"/>
  <c r="I12"/>
  <c r="I11" s="1"/>
  <c r="I193" s="1"/>
  <c r="H12"/>
  <c r="O11"/>
  <c r="O193" s="1"/>
  <c r="J11"/>
  <c r="J193" s="1"/>
  <c r="H11"/>
  <c r="H193" s="1"/>
  <c r="Q16" l="1"/>
  <c r="Q134"/>
  <c r="P125"/>
  <c r="P124" s="1"/>
  <c r="G136"/>
  <c r="G135" s="1"/>
  <c r="F171"/>
  <c r="Q171" s="1"/>
  <c r="G12"/>
  <c r="G11" s="1"/>
  <c r="K136"/>
  <c r="K135" s="1"/>
  <c r="L136"/>
  <c r="L135" s="1"/>
  <c r="L193" s="1"/>
  <c r="F112"/>
  <c r="Q149"/>
  <c r="K12"/>
  <c r="K11" s="1"/>
  <c r="Q42"/>
  <c r="Q44"/>
  <c r="K50"/>
  <c r="K49" s="1"/>
  <c r="Q119"/>
  <c r="Q122"/>
  <c r="Q156"/>
  <c r="Q181"/>
  <c r="P113"/>
  <c r="P112" s="1"/>
  <c r="K121"/>
  <c r="Q126"/>
  <c r="F175"/>
  <c r="Q176"/>
  <c r="Q39"/>
  <c r="Q154"/>
  <c r="Q163"/>
  <c r="K113"/>
  <c r="K112" s="1"/>
  <c r="Q121"/>
  <c r="Q132"/>
  <c r="Q148"/>
  <c r="Q152"/>
  <c r="Q155"/>
  <c r="Q157"/>
  <c r="Q166"/>
  <c r="K175"/>
  <c r="K174" s="1"/>
  <c r="F81"/>
  <c r="Q81" s="1"/>
  <c r="F70"/>
  <c r="Q115"/>
  <c r="F185"/>
  <c r="F14"/>
  <c r="K107"/>
  <c r="Q107" s="1"/>
  <c r="G125"/>
  <c r="G124" s="1"/>
  <c r="K128"/>
  <c r="K125" s="1"/>
  <c r="K124" s="1"/>
  <c r="P136"/>
  <c r="P135" s="1"/>
  <c r="F164"/>
  <c r="Q164" s="1"/>
  <c r="P50"/>
  <c r="P49" s="1"/>
  <c r="P12"/>
  <c r="P11" s="1"/>
  <c r="G50"/>
  <c r="F125"/>
  <c r="P193" l="1"/>
  <c r="Q185"/>
  <c r="F183"/>
  <c r="Q175"/>
  <c r="F174"/>
  <c r="Q174" s="1"/>
  <c r="Q128"/>
  <c r="K193"/>
  <c r="Q113"/>
  <c r="Q112" s="1"/>
  <c r="F50"/>
  <c r="G49"/>
  <c r="G193" s="1"/>
  <c r="Q14"/>
  <c r="F12"/>
  <c r="Q125"/>
  <c r="F124"/>
  <c r="Q124" s="1"/>
  <c r="F69"/>
  <c r="Q69" s="1"/>
  <c r="Q70"/>
  <c r="K70"/>
  <c r="K69" s="1"/>
  <c r="F136"/>
  <c r="Q136" l="1"/>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<sst xmlns="http://schemas.openxmlformats.org/spreadsheetml/2006/main" count="773" uniqueCount="528">
  <si>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</si>
  <si>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</si>
  <si>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</si>
  <si>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</si>
  <si>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</si>
  <si>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</si>
  <si>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</si>
  <si>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</si>
  <si>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</si>
  <si>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</si>
  <si>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</si>
  <si>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</si>
  <si>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</si>
  <si>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</si>
  <si>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</si>
  <si>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</si>
  <si>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</si>
  <si>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</si>
  <si>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</si>
  <si>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</si>
  <si>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</si>
  <si>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</si>
  <si>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</si>
  <si>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</si>
  <si>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</si>
  <si>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</si>
  <si>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</si>
  <si>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</si>
  <si>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</si>
  <si>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</si>
  <si>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</si>
  <si>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</si>
  <si>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</si>
  <si>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</si>
  <si>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</si>
  <si>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</si>
  <si>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</si>
  <si>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</si>
  <si>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</si>
  <si>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</si>
  <si>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</si>
  <si>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</si>
  <si>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</si>
  <si>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</si>
  <si>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</si>
  <si>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</si>
  <si>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</si>
  <si>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</si>
  <si>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</si>
  <si>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</si>
  <si>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</si>
  <si>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</si>
  <si>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</si>
  <si>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</si>
  <si>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</si>
  <si>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</si>
  <si>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</si>
  <si>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</si>
  <si>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</si>
  <si>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</si>
  <si>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</si>
  <si>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</si>
  <si>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</si>
  <si>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</si>
  <si>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</si>
  <si>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</si>
  <si>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</si>
  <si>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</si>
  <si>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</si>
  <si>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</si>
  <si>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</si>
  <si>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</si>
  <si>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</si>
  <si>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</si>
  <si>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</si>
  <si>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</si>
  <si>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</si>
  <si>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</si>
  <si>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</si>
  <si>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</si>
  <si>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</si>
  <si>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</si>
  <si>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</si>
  <si>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</si>
  <si>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</si>
  <si>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</si>
  <si>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</si>
  <si>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</si>
  <si>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</si>
  <si>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</si>
  <si>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</si>
  <si>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</si>
  <si>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</si>
  <si>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</si>
  <si>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</si>
  <si>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</si>
  <si>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</si>
  <si>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</si>
  <si>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</si>
  <si>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</si>
  <si>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</si>
  <si>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</si>
  <si>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</si>
  <si>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</si>
  <si>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</si>
  <si>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</si>
  <si>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</si>
  <si>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</si>
  <si>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</si>
  <si>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</si>
  <si>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</si>
  <si>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</si>
  <si>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</si>
  <si>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</si>
  <si>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</si>
  <si>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</si>
  <si>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</si>
  <si>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</si>
  <si>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</si>
  <si>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</si>
  <si>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</si>
  <si>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</si>
  <si>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</si>
  <si>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</si>
  <si>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</si>
  <si>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</si>
  <si>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</si>
  <si>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</si>
  <si>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</si>
  <si>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</si>
  <si>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</si>
  <si>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</si>
  <si>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</si>
  <si>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</si>
  <si>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</si>
  <si>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</si>
  <si>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</si>
  <si>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</si>
  <si>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</si>
  <si>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</si>
  <si>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</si>
  <si>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</si>
  <si>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</si>
  <si>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</si>
  <si>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</si>
  <si>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</si>
  <si>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</si>
  <si>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</si>
  <si>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</si>
  <si>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</si>
  <si>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</si>
  <si>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</si>
  <si>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</si>
  <si>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</si>
  <si>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</si>
  <si>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</si>
  <si>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</si>
  <si>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</si>
  <si>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</si>
  <si>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</si>
  <si>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</si>
  <si>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</si>
  <si>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</si>
  <si>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</si>
  <si>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</si>
  <si>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</si>
  <si>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</si>
  <si>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</si>
  <si>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</si>
  <si>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</si>
  <si>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</si>
  <si>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</si>
  <si>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</si>
  <si>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</si>
  <si>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</si>
  <si>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</si>
  <si>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</si>
  <si>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</si>
  <si>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</si>
  <si>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</si>
  <si>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</si>
  <si>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</si>
  <si>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</si>
  <si>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</si>
  <si>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</si>
  <si>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</si>
  <si>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</si>
  <si>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</si>
  <si>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</si>
  <si>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</si>
  <si>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</si>
  <si>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</si>
  <si>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</si>
  <si>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</si>
  <si>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</si>
  <si>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</si>
  <si>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</si>
  <si>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</si>
  <si>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</si>
  <si>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</si>
  <si>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</si>
  <si>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</si>
  <si>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</si>
  <si>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</si>
  <si>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</si>
  <si>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</si>
  <si>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</si>
  <si>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</si>
  <si>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</si>
  <si>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</si>
  <si>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</si>
  <si>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</si>
  <si>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</si>
  <si>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</si>
  <si>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</si>
  <si>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</si>
  <si>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</si>
  <si>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</si>
  <si>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</si>
  <si>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</si>
  <si>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</si>
  <si>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</si>
  <si>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</si>
  <si>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</si>
  <si>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</si>
  <si>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</si>
  <si>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</si>
  <si>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</si>
  <si>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</si>
  <si>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</si>
  <si>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</si>
  <si>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</si>
  <si>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</si>
  <si>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</si>
  <si>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</si>
  <si>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</si>
  <si>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</si>
  <si>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</si>
  <si>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</si>
  <si>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</si>
  <si>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</si>
  <si>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</si>
  <si>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</si>
  <si>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</si>
  <si>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</si>
  <si>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</si>
  <si>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</si>
  <si>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</si>
  <si>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</si>
  <si>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</si>
  <si>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</si>
  <si>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</si>
  <si>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</si>
  <si>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</si>
  <si>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</si>
  <si>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</si>
  <si>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</si>
  <si>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</si>
  <si>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</si>
  <si>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</si>
  <si>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</si>
  <si>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</si>
  <si>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</si>
  <si>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</si>
  <si>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</si>
  <si>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</si>
  <si>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</si>
  <si>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</si>
  <si>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</si>
  <si>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</si>
  <si>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</si>
  <si>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</si>
  <si>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</si>
  <si>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</si>
  <si>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</si>
  <si>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</si>
  <si>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</si>
  <si>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</si>
  <si>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</si>
  <si>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</si>
  <si>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</si>
  <si>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</si>
  <si>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</si>
  <si>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</si>
  <si>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</si>
  <si>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</si>
  <si>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</si>
  <si>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</si>
  <si>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</si>
  <si>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</si>
  <si>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</si>
  <si>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</si>
  <si>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</si>
  <si>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</si>
  <si>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</si>
  <si>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</si>
  <si>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</si>
  <si>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</si>
  <si>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</si>
  <si>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</si>
  <si>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</si>
  <si>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</si>
  <si>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</si>
  <si>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</si>
  <si>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</si>
  <si>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</si>
  <si>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</si>
  <si>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</si>
  <si>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</si>
  <si>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</si>
  <si>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</si>
  <si>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</si>
  <si>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</si>
  <si>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</si>
  <si>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</si>
  <si>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</si>
  <si>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</si>
  <si>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</si>
  <si>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</si>
  <si>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</si>
  <si>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</si>
  <si>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</si>
  <si>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</si>
  <si>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</si>
  <si>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</si>
  <si>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</si>
  <si>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</si>
  <si>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</si>
  <si>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</si>
  <si>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</si>
  <si>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</si>
  <si>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</si>
  <si>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</si>
  <si>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</si>
  <si>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</si>
  <si>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</si>
  <si>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</si>
  <si>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</si>
  <si>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</si>
  <si>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</si>
  <si>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</si>
  <si>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</si>
  <si>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</si>
  <si>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</si>
  <si>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</si>
  <si>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</si>
  <si>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</si>
  <si>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</si>
  <si>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</si>
  <si>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</si>
  <si>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</si>
  <si>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</si>
  <si>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</si>
  <si>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</si>
  <si>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</si>
  <si>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</si>
  <si>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</si>
  <si>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</si>
  <si>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</si>
  <si>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</si>
  <si>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</si>
  <si>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</si>
  <si>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</si>
  <si>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</si>
  <si>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</si>
  <si>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</si>
  <si>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</si>
  <si>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</si>
  <si>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</si>
  <si>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</si>
  <si>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</si>
  <si>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</si>
  <si>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</si>
  <si>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</si>
  <si>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</si>
  <si>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</si>
  <si>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</si>
  <si>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</si>
  <si>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</si>
  <si>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</si>
  <si>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</si>
  <si>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</si>
  <si>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</si>
  <si>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</si>
  <si>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</si>
  <si>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</si>
  <si>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</si>
  <si>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</si>
  <si>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</si>
  <si>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</si>
  <si>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</si>
  <si>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</si>
  <si>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</si>
  <si>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</si>
  <si>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</si>
  <si>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</si>
  <si>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</si>
  <si>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</si>
  <si>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</si>
  <si>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</si>
  <si>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</si>
  <si>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</si>
  <si>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</si>
  <si>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</si>
  <si>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</si>
  <si>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</si>
  <si>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</si>
  <si>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</si>
  <si>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</si>
  <si>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</si>
  <si>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</si>
  <si>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</si>
  <si>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</si>
  <si>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</si>
  <si>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</si>
  <si>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</si>
  <si>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</si>
  <si>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</si>
  <si>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</si>
  <si>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</si>
  <si>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</si>
  <si>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</si>
  <si>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</si>
  <si>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</si>
  <si>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</si>
  <si>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</si>
  <si>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</si>
  <si>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</si>
  <si>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</si>
  <si>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</si>
  <si>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</si>
  <si>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</si>
  <si>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</si>
  <si>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</si>
  <si>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</si>
  <si>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</si>
  <si>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</si>
  <si>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</si>
  <si>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</si>
  <si>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</si>
  <si>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</si>
  <si>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</si>
  <si>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</si>
  <si>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</si>
  <si>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</si>
  <si>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</si>
  <si>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</si>
  <si>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</si>
  <si>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</si>
  <si>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</si>
  <si>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</si>
  <si>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</si>
  <si>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</si>
  <si>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</si>
  <si>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</si>
  <si>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</si>
  <si>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</si>
  <si>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</si>
  <si>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</si>
  <si>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</si>
  <si>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</si>
  <si>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</si>
  <si>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</si>
  <si>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</si>
  <si>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</si>
  <si>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</si>
  <si>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</si>
  <si>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</si>
  <si>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</si>
  <si>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</si>
  <si>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</si>
  <si>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</si>
  <si>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</si>
  <si>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</si>
  <si>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</si>
  <si>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</si>
  <si>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</si>
  <si>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</si>
  <si>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</si>
  <si>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</si>
  <si>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</si>
  <si>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</si>
  <si>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</si>
  <si>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</si>
  <si>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</si>
  <si>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</si>
  <si>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</si>
  <si>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</si>
  <si>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</si>
  <si>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</si>
  <si>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</si>
  <si>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</si>
  <si>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</si>
  <si>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</si>
  <si>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</si>
  <si>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</si>
  <si>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</si>
  <si>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</si>
  <si>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</si>
  <si>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</si>
  <si>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</si>
  <si>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</si>
  <si>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</si>
  <si>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</si>
  <si>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</si>
  <si>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</si>
  <si>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</si>
  <si>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</si>
  <si>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</si>
  <si>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</si>
  <si>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</si>
  <si>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</si>
  <si>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</si>
  <si>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</si>
  <si>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</si>
  <si>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</si>
  <si>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</si>
  <si>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</si>
  <si>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</si>
  <si>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</si>
  <si>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</si>
  <si>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</si>
  <si>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</si>
  <si>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</si>
  <si>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</si>
  <si>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</si>
  <si>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</si>
  <si>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13 жовтня 2020 р №9-80/2020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</si>
</sst>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0" fontId="11"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13" fillId="0" borderId="0"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40" zoomScaleNormal="60" zoomScaleSheetLayoutView="40" workbookViewId="0">
      <pane xSplit="2" ySplit="10" topLeftCell="H174" activePane="bottomRight" state="frozen"/>
      <selection pane="topRight" activeCell="C1" sqref="C1"/>
      <selection pane="bottomLeft" activeCell="A11" sqref="A11"/>
      <selection pane="bottomRight" activeCell="O175" sqref="O175"/>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1" t="s">
        <v>493</v>
      </c>
      <c r="O1" s="131"/>
      <c r="P1" s="131"/>
      <c r="Q1" s="131"/>
      <c r="T1" s="19"/>
    </row>
    <row r="2" spans="1:20" s="8" customFormat="1" ht="24.6" customHeight="1">
      <c r="A2" s="132" t="s">
        <v>320</v>
      </c>
      <c r="B2" s="132"/>
      <c r="C2" s="132"/>
      <c r="D2" s="132"/>
      <c r="E2" s="132"/>
      <c r="F2" s="132"/>
      <c r="G2" s="132"/>
      <c r="H2" s="132"/>
      <c r="I2" s="132"/>
      <c r="J2" s="132"/>
      <c r="K2" s="132"/>
      <c r="L2" s="132"/>
      <c r="M2" s="132"/>
      <c r="N2" s="133" t="s">
        <v>353</v>
      </c>
      <c r="O2" s="133"/>
      <c r="P2" s="133"/>
      <c r="Q2" s="133"/>
      <c r="T2" s="19"/>
    </row>
    <row r="3" spans="1:20" s="8" customFormat="1" ht="27" customHeight="1">
      <c r="A3" s="132" t="s">
        <v>489</v>
      </c>
      <c r="B3" s="132"/>
      <c r="C3" s="132"/>
      <c r="D3" s="132"/>
      <c r="E3" s="132"/>
      <c r="F3" s="132"/>
      <c r="G3" s="132"/>
      <c r="H3" s="132"/>
      <c r="I3" s="132"/>
      <c r="J3" s="132"/>
      <c r="K3" s="132"/>
      <c r="L3" s="132"/>
      <c r="M3" s="132"/>
      <c r="N3" s="134" t="s">
        <v>527</v>
      </c>
      <c r="O3" s="134"/>
      <c r="P3" s="134"/>
      <c r="Q3" s="134"/>
      <c r="T3" s="19"/>
    </row>
    <row r="4" spans="1:20" s="8" customFormat="1" ht="17.399999999999999" customHeight="1">
      <c r="A4" s="129">
        <v>25538000000</v>
      </c>
      <c r="B4" s="129"/>
      <c r="C4" s="129"/>
      <c r="D4" s="2"/>
      <c r="E4" s="23"/>
      <c r="F4" s="42"/>
      <c r="G4" s="42"/>
      <c r="H4" s="42"/>
      <c r="I4" s="42"/>
      <c r="J4" s="42"/>
      <c r="K4" s="42"/>
      <c r="L4" s="42"/>
      <c r="M4" s="42"/>
      <c r="N4" s="130"/>
      <c r="O4" s="130"/>
      <c r="P4" s="130"/>
      <c r="Q4" s="130"/>
      <c r="T4" s="19"/>
    </row>
    <row r="5" spans="1:20" s="8" customFormat="1" ht="17.399999999999999" customHeight="1">
      <c r="A5" s="135" t="s">
        <v>488</v>
      </c>
      <c r="B5" s="135"/>
      <c r="C5" s="135"/>
      <c r="D5" s="2"/>
      <c r="E5" s="14"/>
      <c r="F5" s="42"/>
      <c r="G5" s="42"/>
      <c r="H5" s="42"/>
      <c r="I5" s="42"/>
      <c r="J5" s="42"/>
      <c r="K5" s="42"/>
      <c r="L5" s="42"/>
      <c r="M5" s="42"/>
      <c r="N5" s="42"/>
      <c r="O5" s="42"/>
      <c r="P5" s="43"/>
      <c r="Q5" s="43"/>
      <c r="T5" s="19"/>
    </row>
    <row r="6" spans="1:20" s="54" customFormat="1" ht="21.6" customHeight="1">
      <c r="A6" s="136" t="s">
        <v>354</v>
      </c>
      <c r="B6" s="137" t="s">
        <v>494</v>
      </c>
      <c r="C6" s="136" t="s">
        <v>291</v>
      </c>
      <c r="D6" s="140" t="s">
        <v>480</v>
      </c>
      <c r="E6" s="146" t="s">
        <v>58</v>
      </c>
      <c r="F6" s="141" t="s">
        <v>292</v>
      </c>
      <c r="G6" s="141"/>
      <c r="H6" s="141"/>
      <c r="I6" s="141"/>
      <c r="J6" s="128"/>
      <c r="K6" s="141" t="s">
        <v>293</v>
      </c>
      <c r="L6" s="142"/>
      <c r="M6" s="142"/>
      <c r="N6" s="142"/>
      <c r="O6" s="142"/>
      <c r="P6" s="142"/>
      <c r="Q6" s="141" t="s">
        <v>0</v>
      </c>
      <c r="T6" s="55"/>
    </row>
    <row r="7" spans="1:20" s="54" customFormat="1" ht="25.2" customHeight="1">
      <c r="A7" s="136"/>
      <c r="B7" s="138"/>
      <c r="C7" s="136"/>
      <c r="D7" s="140"/>
      <c r="E7" s="146"/>
      <c r="F7" s="141" t="s">
        <v>205</v>
      </c>
      <c r="G7" s="141" t="s">
        <v>47</v>
      </c>
      <c r="H7" s="143" t="s">
        <v>26</v>
      </c>
      <c r="I7" s="143"/>
      <c r="J7" s="141" t="s">
        <v>48</v>
      </c>
      <c r="K7" s="141" t="s">
        <v>205</v>
      </c>
      <c r="L7" s="141" t="s">
        <v>294</v>
      </c>
      <c r="M7" s="141" t="s">
        <v>49</v>
      </c>
      <c r="N7" s="143" t="s">
        <v>26</v>
      </c>
      <c r="O7" s="143"/>
      <c r="P7" s="141" t="s">
        <v>50</v>
      </c>
      <c r="Q7" s="141"/>
      <c r="T7" s="55"/>
    </row>
    <row r="8" spans="1:20" s="54" customFormat="1" ht="16.5" customHeight="1">
      <c r="A8" s="136"/>
      <c r="B8" s="138"/>
      <c r="C8" s="136"/>
      <c r="D8" s="140"/>
      <c r="E8" s="146"/>
      <c r="F8" s="141"/>
      <c r="G8" s="141"/>
      <c r="H8" s="141" t="s">
        <v>515</v>
      </c>
      <c r="I8" s="141" t="s">
        <v>21</v>
      </c>
      <c r="J8" s="141"/>
      <c r="K8" s="141"/>
      <c r="L8" s="144"/>
      <c r="M8" s="144"/>
      <c r="N8" s="141" t="s">
        <v>516</v>
      </c>
      <c r="O8" s="141" t="s">
        <v>21</v>
      </c>
      <c r="P8" s="144"/>
      <c r="Q8" s="141"/>
      <c r="T8" s="55"/>
    </row>
    <row r="9" spans="1:20" s="54" customFormat="1" ht="76.2" customHeight="1">
      <c r="A9" s="136"/>
      <c r="B9" s="139"/>
      <c r="C9" s="136"/>
      <c r="D9" s="140"/>
      <c r="E9" s="146"/>
      <c r="F9" s="141"/>
      <c r="G9" s="141"/>
      <c r="H9" s="141"/>
      <c r="I9" s="141"/>
      <c r="J9" s="141"/>
      <c r="K9" s="141"/>
      <c r="L9" s="144"/>
      <c r="M9" s="144"/>
      <c r="N9" s="141"/>
      <c r="O9" s="141"/>
      <c r="P9" s="144"/>
      <c r="Q9" s="141"/>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75664470.75</v>
      </c>
      <c r="G11" s="70">
        <f>G12</f>
        <v>74732846.75</v>
      </c>
      <c r="H11" s="71">
        <f t="shared" ref="H11:P11" si="0">H12</f>
        <v>17389500</v>
      </c>
      <c r="I11" s="71">
        <f t="shared" si="0"/>
        <v>692900</v>
      </c>
      <c r="J11" s="71">
        <f t="shared" si="0"/>
        <v>931624</v>
      </c>
      <c r="K11" s="70">
        <f t="shared" si="0"/>
        <v>14116874</v>
      </c>
      <c r="L11" s="70">
        <f t="shared" si="0"/>
        <v>14031474</v>
      </c>
      <c r="M11" s="71">
        <f t="shared" si="0"/>
        <v>85400</v>
      </c>
      <c r="N11" s="71">
        <f t="shared" si="0"/>
        <v>0</v>
      </c>
      <c r="O11" s="71">
        <f t="shared" si="0"/>
        <v>0</v>
      </c>
      <c r="P11" s="71">
        <f t="shared" si="0"/>
        <v>14031474</v>
      </c>
      <c r="Q11" s="70">
        <f t="shared" ref="Q11:Q73" si="1">F11+K11</f>
        <v>89781344.75</v>
      </c>
      <c r="T11" s="21"/>
    </row>
    <row r="12" spans="1:20" s="20" customFormat="1" ht="43.2" customHeight="1">
      <c r="A12" s="72" t="s">
        <v>118</v>
      </c>
      <c r="B12" s="72" t="s">
        <v>118</v>
      </c>
      <c r="C12" s="73"/>
      <c r="D12" s="74" t="s">
        <v>113</v>
      </c>
      <c r="E12" s="73"/>
      <c r="F12" s="80">
        <f t="shared" ref="F12:P12" si="2">SUM(F13:F48)</f>
        <v>75664470.75</v>
      </c>
      <c r="G12" s="80">
        <f t="shared" si="2"/>
        <v>74732846.75</v>
      </c>
      <c r="H12" s="75">
        <f t="shared" si="2"/>
        <v>17389500</v>
      </c>
      <c r="I12" s="75">
        <f t="shared" si="2"/>
        <v>692900</v>
      </c>
      <c r="J12" s="75">
        <f t="shared" si="2"/>
        <v>931624</v>
      </c>
      <c r="K12" s="75">
        <f t="shared" si="2"/>
        <v>14116874</v>
      </c>
      <c r="L12" s="75">
        <f>SUM(L13:L48)</f>
        <v>14031474</v>
      </c>
      <c r="M12" s="75">
        <f t="shared" si="2"/>
        <v>85400</v>
      </c>
      <c r="N12" s="75">
        <f t="shared" si="2"/>
        <v>0</v>
      </c>
      <c r="O12" s="75">
        <f t="shared" si="2"/>
        <v>0</v>
      </c>
      <c r="P12" s="75">
        <f t="shared" si="2"/>
        <v>14031474</v>
      </c>
      <c r="Q12" s="75">
        <f t="shared" si="1"/>
        <v>89781344.75</v>
      </c>
      <c r="R12" s="56"/>
      <c r="T12" s="21"/>
    </row>
    <row r="13" spans="1:20" s="22" customFormat="1" ht="56.4" customHeight="1">
      <c r="A13" s="60" t="s">
        <v>119</v>
      </c>
      <c r="B13" s="60" t="s">
        <v>355</v>
      </c>
      <c r="C13" s="60" t="s">
        <v>60</v>
      </c>
      <c r="D13" s="107" t="s">
        <v>305</v>
      </c>
      <c r="E13" s="3" t="s">
        <v>2</v>
      </c>
      <c r="F13" s="4">
        <f t="shared" ref="F13:F76" si="3">G13+J13</f>
        <v>20663400</v>
      </c>
      <c r="G13" s="4">
        <f>19691100+550000+8300-95000+309000+200000</f>
        <v>20663400</v>
      </c>
      <c r="H13" s="12">
        <f>15129400+170000</f>
        <v>15299400</v>
      </c>
      <c r="I13" s="12">
        <v>578600</v>
      </c>
      <c r="J13" s="12"/>
      <c r="K13" s="4">
        <f t="shared" ref="K13:K47" si="4">M13+P13</f>
        <v>731400</v>
      </c>
      <c r="L13" s="4">
        <f>131000+165000+95000+255000</f>
        <v>646000</v>
      </c>
      <c r="M13" s="4">
        <v>85400</v>
      </c>
      <c r="N13" s="4"/>
      <c r="O13" s="12"/>
      <c r="P13" s="12">
        <f>131000+165000+95000+255000</f>
        <v>646000</v>
      </c>
      <c r="Q13" s="4">
        <f t="shared" si="1"/>
        <v>21394800</v>
      </c>
      <c r="T13" s="19"/>
    </row>
    <row r="14" spans="1:20" s="22" customFormat="1" ht="44.4" customHeight="1">
      <c r="A14" s="60" t="s">
        <v>137</v>
      </c>
      <c r="B14" s="60" t="s">
        <v>279</v>
      </c>
      <c r="C14" s="60" t="s">
        <v>71</v>
      </c>
      <c r="D14" s="107"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0" t="s">
        <v>523</v>
      </c>
      <c r="B15" s="60" t="s">
        <v>524</v>
      </c>
      <c r="C15" s="60" t="s">
        <v>355</v>
      </c>
      <c r="D15" s="107" t="s">
        <v>525</v>
      </c>
      <c r="E15" s="3"/>
      <c r="F15" s="4">
        <f>G15</f>
        <v>1833000</v>
      </c>
      <c r="G15" s="4">
        <f>1726000+107000</f>
        <v>1833000</v>
      </c>
      <c r="H15" s="12"/>
      <c r="I15" s="12"/>
      <c r="J15" s="12"/>
      <c r="K15" s="4">
        <f t="shared" si="4"/>
        <v>0</v>
      </c>
      <c r="L15" s="4"/>
      <c r="M15" s="4"/>
      <c r="N15" s="4"/>
      <c r="O15" s="12"/>
      <c r="P15" s="12"/>
      <c r="Q15" s="4">
        <f t="shared" si="1"/>
        <v>1833000</v>
      </c>
      <c r="T15" s="19"/>
    </row>
    <row r="16" spans="1:20" s="20" customFormat="1" ht="44.4" customHeight="1">
      <c r="A16" s="60" t="s">
        <v>120</v>
      </c>
      <c r="B16" s="60" t="s">
        <v>356</v>
      </c>
      <c r="C16" s="61" t="s">
        <v>61</v>
      </c>
      <c r="D16" s="10" t="s">
        <v>87</v>
      </c>
      <c r="E16" s="10" t="s">
        <v>59</v>
      </c>
      <c r="F16" s="4">
        <f t="shared" si="3"/>
        <v>23056150</v>
      </c>
      <c r="G16" s="4">
        <f>19392700+195000+41300+2153850-280000+90000+30000+141410+231907-13870-109800+19800+758840+5000+1399957+63800+41300+172200+214000+4043-150000-81100-500000-47200+13000-32387-785000-40380-322220+450000</f>
        <v>23056150</v>
      </c>
      <c r="H16" s="12"/>
      <c r="I16" s="12"/>
      <c r="J16" s="12"/>
      <c r="K16" s="4">
        <f t="shared" si="4"/>
        <v>3685100</v>
      </c>
      <c r="L16" s="4">
        <f>728000+269850+8700+160000+769000+80000+13870+50000+150000+21100+500000+34200+10000+40380+405000+45000+400000</f>
        <v>3685100</v>
      </c>
      <c r="M16" s="4"/>
      <c r="N16" s="4"/>
      <c r="O16" s="12"/>
      <c r="P16" s="44">
        <f>728000+269850+8700+160000+769000+80000+13870+50000+150000+21100+500000+34200+10000+40380+405000+45000+400000</f>
        <v>3685100</v>
      </c>
      <c r="Q16" s="4">
        <f t="shared" si="1"/>
        <v>26741250</v>
      </c>
      <c r="T16" s="21"/>
    </row>
    <row r="17" spans="1:20" s="20" customFormat="1" ht="55.5" customHeight="1">
      <c r="A17" s="60" t="s">
        <v>125</v>
      </c>
      <c r="B17" s="60" t="s">
        <v>357</v>
      </c>
      <c r="C17" s="60" t="s">
        <v>62</v>
      </c>
      <c r="D17" s="108"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0" t="s">
        <v>124</v>
      </c>
      <c r="B18" s="60" t="s">
        <v>358</v>
      </c>
      <c r="C18" s="60"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0" t="s">
        <v>218</v>
      </c>
      <c r="B19" s="60" t="s">
        <v>359</v>
      </c>
      <c r="C19" s="60"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0" t="s">
        <v>121</v>
      </c>
      <c r="B20" s="60" t="s">
        <v>360</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361</v>
      </c>
      <c r="C21" s="60"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0" t="s">
        <v>123</v>
      </c>
      <c r="B22" s="60" t="s">
        <v>362</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363</v>
      </c>
      <c r="C23" s="60"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0" t="s">
        <v>238</v>
      </c>
      <c r="B24" s="60" t="s">
        <v>364</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365</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366</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367</v>
      </c>
      <c r="C27" s="60" t="s">
        <v>66</v>
      </c>
      <c r="D27" s="108"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2" t="s">
        <v>128</v>
      </c>
      <c r="B28" s="62" t="s">
        <v>490</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368</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369</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370</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371</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372</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373</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373</v>
      </c>
      <c r="C35" s="60" t="s">
        <v>315</v>
      </c>
      <c r="D35" s="109" t="s">
        <v>522</v>
      </c>
      <c r="E35" s="13"/>
      <c r="F35" s="4"/>
      <c r="G35" s="45"/>
      <c r="H35" s="46"/>
      <c r="I35" s="46"/>
      <c r="J35" s="46"/>
      <c r="K35" s="4">
        <f t="shared" si="4"/>
        <v>3399450</v>
      </c>
      <c r="L35" s="45">
        <f>679890+2719560</f>
        <v>3399450</v>
      </c>
      <c r="M35" s="45"/>
      <c r="N35" s="45"/>
      <c r="O35" s="46"/>
      <c r="P35" s="46">
        <f>L35</f>
        <v>3399450</v>
      </c>
      <c r="Q35" s="4">
        <f t="shared" si="1"/>
        <v>3399450</v>
      </c>
      <c r="T35" s="19"/>
    </row>
    <row r="36" spans="1:20" s="8" customFormat="1" ht="43.95" customHeight="1">
      <c r="A36" s="60" t="s">
        <v>485</v>
      </c>
      <c r="B36" s="60" t="s">
        <v>443</v>
      </c>
      <c r="C36" s="60" t="s">
        <v>82</v>
      </c>
      <c r="D36" s="109"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459</v>
      </c>
      <c r="B37" s="60" t="s">
        <v>447</v>
      </c>
      <c r="C37" s="60" t="s">
        <v>82</v>
      </c>
      <c r="D37" s="109"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375</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461</v>
      </c>
      <c r="B39" s="60" t="s">
        <v>462</v>
      </c>
      <c r="C39" s="60" t="s">
        <v>463</v>
      </c>
      <c r="D39" s="109"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376</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377</v>
      </c>
      <c r="C41" s="60" t="s">
        <v>85</v>
      </c>
      <c r="D41" s="108"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0" t="s">
        <v>332</v>
      </c>
      <c r="B42" s="60" t="s">
        <v>378</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379</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380</v>
      </c>
      <c r="C44" s="60" t="s">
        <v>70</v>
      </c>
      <c r="D44" s="109" t="s">
        <v>265</v>
      </c>
      <c r="E44" s="7"/>
      <c r="F44" s="45">
        <f t="shared" si="3"/>
        <v>515000</v>
      </c>
      <c r="G44" s="45">
        <f>130000+90000-125000+400000+20000</f>
        <v>515000</v>
      </c>
      <c r="H44" s="46"/>
      <c r="I44" s="46"/>
      <c r="J44" s="46"/>
      <c r="K44" s="4">
        <f t="shared" si="4"/>
        <v>125000</v>
      </c>
      <c r="L44" s="45">
        <v>125000</v>
      </c>
      <c r="M44" s="45"/>
      <c r="N44" s="45"/>
      <c r="O44" s="46"/>
      <c r="P44" s="46">
        <f>L44</f>
        <v>125000</v>
      </c>
      <c r="Q44" s="4">
        <f t="shared" si="1"/>
        <v>640000</v>
      </c>
      <c r="T44" s="19"/>
    </row>
    <row r="45" spans="1:20" s="8" customFormat="1" ht="34.200000000000003" customHeight="1">
      <c r="A45" s="62" t="s">
        <v>465</v>
      </c>
      <c r="B45" s="62" t="s">
        <v>466</v>
      </c>
      <c r="C45" s="62" t="s">
        <v>467</v>
      </c>
      <c r="D45" s="110"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381</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382</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381</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231558542.5</v>
      </c>
      <c r="G49" s="70">
        <f t="shared" ref="G49:P49" si="5">G50</f>
        <v>231558542.5</v>
      </c>
      <c r="H49" s="70">
        <f t="shared" si="5"/>
        <v>151842810.38</v>
      </c>
      <c r="I49" s="70">
        <f t="shared" si="5"/>
        <v>20923469.859999999</v>
      </c>
      <c r="J49" s="71">
        <f t="shared" si="5"/>
        <v>0</v>
      </c>
      <c r="K49" s="70">
        <f t="shared" si="5"/>
        <v>27108158.259999998</v>
      </c>
      <c r="L49" s="70">
        <f t="shared" si="5"/>
        <v>18327558.259999998</v>
      </c>
      <c r="M49" s="71">
        <f t="shared" si="5"/>
        <v>8780600</v>
      </c>
      <c r="N49" s="71">
        <f t="shared" si="5"/>
        <v>190000</v>
      </c>
      <c r="O49" s="71">
        <f t="shared" si="5"/>
        <v>296300</v>
      </c>
      <c r="P49" s="70">
        <f t="shared" si="5"/>
        <v>18327558.259999998</v>
      </c>
      <c r="Q49" s="70">
        <f t="shared" si="1"/>
        <v>258666700.75999999</v>
      </c>
      <c r="T49" s="21"/>
    </row>
    <row r="50" spans="1:20" s="23" customFormat="1" ht="31.2" customHeight="1">
      <c r="A50" s="72" t="s">
        <v>142</v>
      </c>
      <c r="B50" s="72" t="s">
        <v>142</v>
      </c>
      <c r="C50" s="78"/>
      <c r="D50" s="79" t="s">
        <v>179</v>
      </c>
      <c r="E50" s="78"/>
      <c r="F50" s="80">
        <f>G50</f>
        <v>231558542.5</v>
      </c>
      <c r="G50" s="80">
        <f>SUM(G51:G68)</f>
        <v>231558542.5</v>
      </c>
      <c r="H50" s="80">
        <f>SUM(H51:H68)</f>
        <v>151842810.38</v>
      </c>
      <c r="I50" s="80">
        <f>SUM(I51:I68)</f>
        <v>20923469.859999999</v>
      </c>
      <c r="J50" s="80">
        <f t="shared" ref="J50:P50" si="6">SUM(J51:J67)+J68</f>
        <v>0</v>
      </c>
      <c r="K50" s="80">
        <f t="shared" si="6"/>
        <v>27108158.259999998</v>
      </c>
      <c r="L50" s="80">
        <f t="shared" si="6"/>
        <v>18327558.259999998</v>
      </c>
      <c r="M50" s="80">
        <f t="shared" si="6"/>
        <v>8780600</v>
      </c>
      <c r="N50" s="80">
        <f t="shared" si="6"/>
        <v>190000</v>
      </c>
      <c r="O50" s="80">
        <f t="shared" si="6"/>
        <v>296300</v>
      </c>
      <c r="P50" s="80">
        <f t="shared" si="6"/>
        <v>18327558.259999998</v>
      </c>
      <c r="Q50" s="80">
        <f t="shared" si="1"/>
        <v>258666700.75999999</v>
      </c>
      <c r="T50" s="21"/>
    </row>
    <row r="51" spans="1:20" s="8" customFormat="1" ht="59.4" customHeight="1">
      <c r="A51" s="60" t="s">
        <v>144</v>
      </c>
      <c r="B51" s="60" t="s">
        <v>355</v>
      </c>
      <c r="C51" s="60" t="s">
        <v>60</v>
      </c>
      <c r="D51" s="107" t="s">
        <v>302</v>
      </c>
      <c r="E51" s="7" t="s">
        <v>2</v>
      </c>
      <c r="F51" s="4">
        <f t="shared" si="3"/>
        <v>1510240</v>
      </c>
      <c r="G51" s="4">
        <f>1445500+64000+740</f>
        <v>1510240</v>
      </c>
      <c r="H51" s="12">
        <f>1191300</f>
        <v>1191300</v>
      </c>
      <c r="I51" s="12">
        <v>25500</v>
      </c>
      <c r="J51" s="12"/>
      <c r="K51" s="4">
        <f t="shared" ref="K51:K68" si="7">M51+P51</f>
        <v>0</v>
      </c>
      <c r="L51" s="4"/>
      <c r="M51" s="12"/>
      <c r="N51" s="4"/>
      <c r="O51" s="12"/>
      <c r="P51" s="12"/>
      <c r="Q51" s="4">
        <f t="shared" si="1"/>
        <v>1510240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54481327.859999999</v>
      </c>
      <c r="G53" s="38">
        <f>54671800-3473160+1000000+113460+62906.86+10301+2000+30000+8930+1000000+6090+5000-26000+300000+70000+4000-930000+1626000</f>
        <v>54481327.859999999</v>
      </c>
      <c r="H53" s="47">
        <f>32047653+165000+1406000</f>
        <v>33618653</v>
      </c>
      <c r="I53" s="12">
        <f>7750800-540000-1400000</f>
        <v>5810800</v>
      </c>
      <c r="J53" s="12"/>
      <c r="K53" s="4">
        <f t="shared" si="7"/>
        <v>5083000</v>
      </c>
      <c r="L53" s="4">
        <f>227000+26000</f>
        <v>253000</v>
      </c>
      <c r="M53" s="12">
        <v>4830000</v>
      </c>
      <c r="N53" s="4"/>
      <c r="O53" s="12"/>
      <c r="P53" s="12">
        <f>227000+26000</f>
        <v>253000</v>
      </c>
      <c r="Q53" s="38">
        <f t="shared" si="1"/>
        <v>59564327.859999999</v>
      </c>
      <c r="T53" s="19"/>
    </row>
    <row r="54" spans="1:20" s="8" customFormat="1" ht="80.25" customHeight="1">
      <c r="A54" s="60" t="s">
        <v>147</v>
      </c>
      <c r="B54" s="60" t="s">
        <v>81</v>
      </c>
      <c r="C54" s="60" t="s">
        <v>73</v>
      </c>
      <c r="D54" s="109" t="s">
        <v>495</v>
      </c>
      <c r="E54" s="7" t="s">
        <v>40</v>
      </c>
      <c r="F54" s="38">
        <f t="shared" si="3"/>
        <v>156510155.5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f>
        <v>156510155.5</v>
      </c>
      <c r="H54" s="47">
        <f>98082280+850000+200000+2800000+1500000+209500+250000+760000</f>
        <v>104651780</v>
      </c>
      <c r="I54" s="12">
        <f>16675710-30000-40000-1000000-150000-203500-480000-70000-452044</f>
        <v>14250166</v>
      </c>
      <c r="J54" s="12"/>
      <c r="K54" s="4">
        <f t="shared" si="7"/>
        <v>6328321</v>
      </c>
      <c r="L54" s="38">
        <f>715500+10000-33920-15500+504364+56041+1038135+14915+40000-22505+10000+85191</f>
        <v>2402221</v>
      </c>
      <c r="M54" s="12">
        <v>3926100</v>
      </c>
      <c r="N54" s="4">
        <v>190000</v>
      </c>
      <c r="O54" s="12">
        <v>296300</v>
      </c>
      <c r="P54" s="47">
        <f>715500+10000-33920-15500+504364+56041+1038135+14915+40000-22505+10000+85191</f>
        <v>2402221</v>
      </c>
      <c r="Q54" s="38">
        <f>F54+K54</f>
        <v>162838476.5</v>
      </c>
      <c r="T54" s="19"/>
    </row>
    <row r="55" spans="1:20" s="8" customFormat="1" ht="56.4" customHeight="1">
      <c r="A55" s="60" t="s">
        <v>148</v>
      </c>
      <c r="B55" s="60" t="s">
        <v>65</v>
      </c>
      <c r="C55" s="60" t="s">
        <v>74</v>
      </c>
      <c r="D55" s="108" t="s">
        <v>481</v>
      </c>
      <c r="E55" s="7" t="s">
        <v>7</v>
      </c>
      <c r="F55" s="38">
        <f t="shared" si="3"/>
        <v>7373160</v>
      </c>
      <c r="G55" s="38">
        <f>6896260+156800+13600+23500+5000-28140+28140-120000+350000+48000</f>
        <v>7373160</v>
      </c>
      <c r="H55" s="47">
        <f>5000000+290000</f>
        <v>5290000</v>
      </c>
      <c r="I55" s="12">
        <f>463620-120000</f>
        <v>343620</v>
      </c>
      <c r="J55" s="12"/>
      <c r="K55" s="4">
        <f t="shared" si="7"/>
        <v>277700</v>
      </c>
      <c r="L55" s="4">
        <f>32000+18000+193200+10000</f>
        <v>253200</v>
      </c>
      <c r="M55" s="12">
        <f>24500</f>
        <v>24500</v>
      </c>
      <c r="N55" s="4"/>
      <c r="O55" s="12"/>
      <c r="P55" s="12">
        <f>32000+18000+193200+10000</f>
        <v>253200</v>
      </c>
      <c r="Q55" s="4">
        <f t="shared" si="1"/>
        <v>7650860</v>
      </c>
      <c r="T55" s="19"/>
    </row>
    <row r="56" spans="1:20" s="8" customFormat="1" ht="40.200000000000003" customHeight="1">
      <c r="A56" s="60" t="s">
        <v>149</v>
      </c>
      <c r="B56" s="60" t="s">
        <v>384</v>
      </c>
      <c r="C56" s="60" t="s">
        <v>75</v>
      </c>
      <c r="D56" s="109" t="s">
        <v>483</v>
      </c>
      <c r="E56" s="7" t="s">
        <v>8</v>
      </c>
      <c r="F56" s="4">
        <f t="shared" si="3"/>
        <v>1276460</v>
      </c>
      <c r="G56" s="4">
        <f>1274460+2000</f>
        <v>1276460</v>
      </c>
      <c r="H56" s="12">
        <v>950000</v>
      </c>
      <c r="I56" s="12">
        <v>90360</v>
      </c>
      <c r="J56" s="12"/>
      <c r="K56" s="4">
        <f t="shared" si="7"/>
        <v>0</v>
      </c>
      <c r="L56" s="4"/>
      <c r="M56" s="12"/>
      <c r="N56" s="4"/>
      <c r="O56" s="12"/>
      <c r="P56" s="12"/>
      <c r="Q56" s="4">
        <f t="shared" si="1"/>
        <v>1276460</v>
      </c>
      <c r="T56" s="19"/>
    </row>
    <row r="57" spans="1:20" s="8" customFormat="1" ht="34.950000000000003" customHeight="1">
      <c r="A57" s="60" t="s">
        <v>225</v>
      </c>
      <c r="B57" s="60" t="s">
        <v>385</v>
      </c>
      <c r="C57" s="62" t="s">
        <v>75</v>
      </c>
      <c r="D57" s="7" t="s">
        <v>226</v>
      </c>
      <c r="E57" s="9"/>
      <c r="F57" s="121">
        <f t="shared" si="3"/>
        <v>4688232.34</v>
      </c>
      <c r="G57" s="38">
        <f>3799800+300000-62906.86+176339.2+75000+400000</f>
        <v>4688232.34</v>
      </c>
      <c r="H57" s="47">
        <f>2998437+340000</f>
        <v>3338437</v>
      </c>
      <c r="I57" s="12">
        <f>104300+30000</f>
        <v>134300</v>
      </c>
      <c r="J57" s="12"/>
      <c r="K57" s="4"/>
      <c r="L57" s="4"/>
      <c r="M57" s="12"/>
      <c r="N57" s="4"/>
      <c r="O57" s="12"/>
      <c r="P57" s="12"/>
      <c r="Q57" s="38">
        <f t="shared" si="1"/>
        <v>4688232.34</v>
      </c>
      <c r="T57" s="19"/>
    </row>
    <row r="58" spans="1:20" s="8" customFormat="1" ht="0.75" hidden="1" customHeight="1">
      <c r="B58" s="60" t="s">
        <v>383</v>
      </c>
      <c r="F58" s="40"/>
      <c r="G58" s="40"/>
      <c r="H58" s="40"/>
      <c r="I58" s="12"/>
      <c r="J58" s="12"/>
      <c r="K58" s="4"/>
      <c r="L58" s="4"/>
      <c r="M58" s="12"/>
      <c r="N58" s="4"/>
      <c r="O58" s="12"/>
      <c r="P58" s="12"/>
      <c r="Q58" s="4" t="e">
        <f>#REF!+K58</f>
        <v>#REF!</v>
      </c>
      <c r="T58" s="19"/>
    </row>
    <row r="59" spans="1:20" s="8" customFormat="1" ht="25.2" customHeight="1">
      <c r="A59" s="60" t="s">
        <v>267</v>
      </c>
      <c r="B59" s="60" t="s">
        <v>386</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387</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388</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374</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389</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375</v>
      </c>
      <c r="C64" s="60" t="s">
        <v>209</v>
      </c>
      <c r="D64" s="109" t="s">
        <v>496</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390</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469</v>
      </c>
      <c r="B66" s="60" t="s">
        <v>462</v>
      </c>
      <c r="C66" s="60" t="s">
        <v>463</v>
      </c>
      <c r="D66" s="109" t="s">
        <v>464</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377</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380</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487</v>
      </c>
      <c r="E69" s="76" t="s">
        <v>33</v>
      </c>
      <c r="F69" s="70">
        <f>F70</f>
        <v>27517660</v>
      </c>
      <c r="G69" s="70">
        <f t="shared" ref="G69:P69" si="8">G70</f>
        <v>27517660</v>
      </c>
      <c r="H69" s="71">
        <f t="shared" si="8"/>
        <v>18335197</v>
      </c>
      <c r="I69" s="71">
        <f t="shared" si="8"/>
        <v>659850</v>
      </c>
      <c r="J69" s="71">
        <f t="shared" si="8"/>
        <v>0</v>
      </c>
      <c r="K69" s="70">
        <f t="shared" si="8"/>
        <v>296300</v>
      </c>
      <c r="L69" s="71">
        <f t="shared" si="8"/>
        <v>151300</v>
      </c>
      <c r="M69" s="71">
        <f t="shared" si="8"/>
        <v>145000</v>
      </c>
      <c r="N69" s="71">
        <f t="shared" si="8"/>
        <v>96700</v>
      </c>
      <c r="O69" s="71">
        <f t="shared" si="8"/>
        <v>0</v>
      </c>
      <c r="P69" s="71">
        <f t="shared" si="8"/>
        <v>151300</v>
      </c>
      <c r="Q69" s="70">
        <f t="shared" si="1"/>
        <v>27813960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27517660</v>
      </c>
      <c r="G70" s="80">
        <f>G71+G72+G73+G74+G75+G76+G77+G78+G79+G80+G81+G90+G92+G93+G94+G95+G96+G98+G99+G100+G101+G102+G103+G105+G106+G104+G111+G97+G107+G110+G108</f>
        <v>27517660</v>
      </c>
      <c r="H70" s="80">
        <f t="shared" ref="H70:O70" si="9">H71+H72+H73+H74+H75+H76+H77+H78+H79+H80+H81+H90+H92+H93+H94+H95+H96+H98+H99+H100+H101+H102+H103+H105+H106+H104+H111+H97+H107+H110</f>
        <v>18335197</v>
      </c>
      <c r="I70" s="80">
        <f t="shared" si="9"/>
        <v>659850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27813960</v>
      </c>
      <c r="T70" s="21"/>
    </row>
    <row r="71" spans="1:20" s="8" customFormat="1" ht="61.2" customHeight="1">
      <c r="A71" s="60" t="s">
        <v>159</v>
      </c>
      <c r="B71" s="60" t="s">
        <v>355</v>
      </c>
      <c r="C71" s="60" t="s">
        <v>60</v>
      </c>
      <c r="D71" s="107" t="s">
        <v>305</v>
      </c>
      <c r="E71" s="7" t="s">
        <v>2</v>
      </c>
      <c r="F71" s="4">
        <f t="shared" si="3"/>
        <v>14658300</v>
      </c>
      <c r="G71" s="12">
        <f>13767300+611000+280000</f>
        <v>14658300</v>
      </c>
      <c r="H71" s="12">
        <f>11432500+260000</f>
        <v>11692500</v>
      </c>
      <c r="I71" s="12">
        <v>276650</v>
      </c>
      <c r="J71" s="12"/>
      <c r="K71" s="4">
        <f t="shared" ref="K71:K80" si="10">M71+P71</f>
        <v>0</v>
      </c>
      <c r="L71" s="4"/>
      <c r="M71" s="12"/>
      <c r="N71" s="12"/>
      <c r="O71" s="12"/>
      <c r="P71" s="12"/>
      <c r="Q71" s="4">
        <f t="shared" si="1"/>
        <v>14658300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392</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393</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394</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395</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396</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397</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398</v>
      </c>
      <c r="C79" s="60" t="s">
        <v>78</v>
      </c>
      <c r="D79" s="108" t="s">
        <v>215</v>
      </c>
      <c r="E79" s="7"/>
      <c r="F79" s="4">
        <f t="shared" si="12"/>
        <v>1800000</v>
      </c>
      <c r="G79" s="4">
        <v>1800000</v>
      </c>
      <c r="H79" s="4"/>
      <c r="I79" s="4"/>
      <c r="J79" s="4"/>
      <c r="K79" s="4">
        <f t="shared" si="10"/>
        <v>0</v>
      </c>
      <c r="L79" s="4"/>
      <c r="M79" s="4"/>
      <c r="N79" s="4"/>
      <c r="O79" s="4"/>
      <c r="P79" s="4"/>
      <c r="Q79" s="4">
        <f>F79+K79</f>
        <v>1800000</v>
      </c>
      <c r="T79" s="21"/>
    </row>
    <row r="80" spans="1:20" s="23" customFormat="1" ht="60" customHeight="1">
      <c r="A80" s="60" t="s">
        <v>214</v>
      </c>
      <c r="B80" s="60" t="s">
        <v>399</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484</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400</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401</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402</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403</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404</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405</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406</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407</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408</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409</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410</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411</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412</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413</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414</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415</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416</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417</v>
      </c>
      <c r="C99" s="60" t="s">
        <v>81</v>
      </c>
      <c r="D99" s="109" t="s">
        <v>106</v>
      </c>
      <c r="E99" s="7" t="s">
        <v>56</v>
      </c>
      <c r="F99" s="4">
        <f t="shared" ref="F99:F105" si="17">G99+J99</f>
        <v>7195410</v>
      </c>
      <c r="G99" s="4">
        <f>5672500+54100+85500+342110+990000+51200</f>
        <v>7195410</v>
      </c>
      <c r="H99" s="12">
        <f>4657417+810000</f>
        <v>5467417</v>
      </c>
      <c r="I99" s="12">
        <v>212600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418</v>
      </c>
      <c r="C100" s="60" t="s">
        <v>80</v>
      </c>
      <c r="D100" s="109" t="s">
        <v>228</v>
      </c>
      <c r="E100" s="6" t="s">
        <v>27</v>
      </c>
      <c r="F100" s="4">
        <f t="shared" si="17"/>
        <v>1580300</v>
      </c>
      <c r="G100" s="4">
        <f>1420300+160000</f>
        <v>1580300</v>
      </c>
      <c r="H100" s="12">
        <f>987000+135000</f>
        <v>1122000</v>
      </c>
      <c r="I100" s="12">
        <v>170600</v>
      </c>
      <c r="J100" s="12"/>
      <c r="K100" s="4">
        <f t="shared" si="15"/>
        <v>0</v>
      </c>
      <c r="L100" s="4"/>
      <c r="M100" s="12"/>
      <c r="N100" s="4"/>
      <c r="O100" s="12"/>
      <c r="P100" s="12"/>
      <c r="Q100" s="4">
        <f t="shared" si="14"/>
        <v>1580300</v>
      </c>
      <c r="T100" s="19"/>
    </row>
    <row r="101" spans="1:20" s="8" customFormat="1" ht="114.6" customHeight="1">
      <c r="A101" s="60" t="s">
        <v>257</v>
      </c>
      <c r="B101" s="60" t="s">
        <v>419</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420</v>
      </c>
      <c r="C102" s="60" t="s">
        <v>79</v>
      </c>
      <c r="D102" s="109" t="s">
        <v>230</v>
      </c>
      <c r="E102" s="7" t="s">
        <v>3</v>
      </c>
      <c r="F102" s="4">
        <f t="shared" si="17"/>
        <v>163000</v>
      </c>
      <c r="G102" s="4">
        <f>112000+51000</f>
        <v>163000</v>
      </c>
      <c r="H102" s="12"/>
      <c r="I102" s="12"/>
      <c r="J102" s="12"/>
      <c r="K102" s="4">
        <f t="shared" si="15"/>
        <v>0</v>
      </c>
      <c r="L102" s="4"/>
      <c r="M102" s="12"/>
      <c r="N102" s="4"/>
      <c r="O102" s="12"/>
      <c r="P102" s="12"/>
      <c r="Q102" s="4">
        <f t="shared" si="14"/>
        <v>163000</v>
      </c>
      <c r="T102" s="19"/>
    </row>
    <row r="103" spans="1:20" s="8" customFormat="1" ht="71.400000000000006" customHeight="1">
      <c r="A103" s="60" t="s">
        <v>231</v>
      </c>
      <c r="B103" s="60" t="s">
        <v>421</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422</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423</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371</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373</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371</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508</v>
      </c>
      <c r="B109" s="60" t="s">
        <v>509</v>
      </c>
      <c r="C109" s="60" t="s">
        <v>82</v>
      </c>
      <c r="D109" s="108" t="s">
        <v>510</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470</v>
      </c>
      <c r="B110" s="60" t="s">
        <v>462</v>
      </c>
      <c r="C110" s="60" t="s">
        <v>463</v>
      </c>
      <c r="D110" s="109" t="s">
        <v>464</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377</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28521894</v>
      </c>
      <c r="G112" s="70">
        <f t="shared" ref="G112:P112" si="18">G113</f>
        <v>28521894</v>
      </c>
      <c r="H112" s="71">
        <f t="shared" si="18"/>
        <v>18177200</v>
      </c>
      <c r="I112" s="71">
        <f t="shared" si="18"/>
        <v>1908454</v>
      </c>
      <c r="J112" s="71">
        <f t="shared" si="18"/>
        <v>0</v>
      </c>
      <c r="K112" s="70">
        <f t="shared" si="18"/>
        <v>1494700</v>
      </c>
      <c r="L112" s="70">
        <f t="shared" si="18"/>
        <v>853700</v>
      </c>
      <c r="M112" s="71">
        <f t="shared" si="18"/>
        <v>641000</v>
      </c>
      <c r="N112" s="71">
        <f t="shared" si="18"/>
        <v>138500</v>
      </c>
      <c r="O112" s="71">
        <f t="shared" si="18"/>
        <v>0</v>
      </c>
      <c r="P112" s="71">
        <f t="shared" si="18"/>
        <v>853700</v>
      </c>
      <c r="Q112" s="71">
        <f>Q113</f>
        <v>30016594</v>
      </c>
      <c r="R112" s="83"/>
      <c r="T112" s="85"/>
    </row>
    <row r="113" spans="1:20" s="84" customFormat="1" ht="43.95" customHeight="1">
      <c r="A113" s="72" t="s">
        <v>143</v>
      </c>
      <c r="B113" s="72" t="s">
        <v>424</v>
      </c>
      <c r="C113" s="82"/>
      <c r="D113" s="79" t="str">
        <f>D112</f>
        <v>Управління культури і туризму міської ради</v>
      </c>
      <c r="E113" s="78"/>
      <c r="F113" s="80">
        <f>SUM(F114:F123)</f>
        <v>28521894</v>
      </c>
      <c r="G113" s="80">
        <f t="shared" ref="G113:P113" si="19">SUM(G114:G123)</f>
        <v>28521894</v>
      </c>
      <c r="H113" s="80">
        <f t="shared" si="19"/>
        <v>18177200</v>
      </c>
      <c r="I113" s="80">
        <f t="shared" si="19"/>
        <v>1908454</v>
      </c>
      <c r="J113" s="80">
        <f t="shared" si="19"/>
        <v>0</v>
      </c>
      <c r="K113" s="80">
        <f t="shared" si="19"/>
        <v>1494700</v>
      </c>
      <c r="L113" s="80">
        <f t="shared" si="19"/>
        <v>853700</v>
      </c>
      <c r="M113" s="80">
        <f t="shared" si="19"/>
        <v>641000</v>
      </c>
      <c r="N113" s="80">
        <f t="shared" si="19"/>
        <v>138500</v>
      </c>
      <c r="O113" s="80">
        <f t="shared" si="19"/>
        <v>0</v>
      </c>
      <c r="P113" s="80">
        <f t="shared" si="19"/>
        <v>853700</v>
      </c>
      <c r="Q113" s="75">
        <f t="shared" ref="Q113:Q173" si="20">F113+K113</f>
        <v>30016594</v>
      </c>
      <c r="T113" s="85"/>
    </row>
    <row r="114" spans="1:20" s="23" customFormat="1" ht="85.5" customHeight="1">
      <c r="A114" s="60" t="s">
        <v>181</v>
      </c>
      <c r="B114" s="60" t="s">
        <v>355</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425</v>
      </c>
      <c r="C116" s="60" t="s">
        <v>74</v>
      </c>
      <c r="D116" s="109"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0" t="s">
        <v>182</v>
      </c>
      <c r="B117" s="60" t="s">
        <v>426</v>
      </c>
      <c r="C117" s="60" t="s">
        <v>107</v>
      </c>
      <c r="D117" s="109" t="s">
        <v>183</v>
      </c>
      <c r="E117" s="7" t="s">
        <v>9</v>
      </c>
      <c r="F117" s="4">
        <f t="shared" si="21"/>
        <v>3477500</v>
      </c>
      <c r="G117" s="4">
        <f>3048700+220000+3200+5600+200000</f>
        <v>3477500</v>
      </c>
      <c r="H117" s="12">
        <f>2281000+173000</f>
        <v>2454000</v>
      </c>
      <c r="I117" s="12">
        <f>442600-8833</f>
        <v>433767</v>
      </c>
      <c r="J117" s="12"/>
      <c r="K117" s="4">
        <f t="shared" si="22"/>
        <v>51000</v>
      </c>
      <c r="L117" s="4">
        <v>35000</v>
      </c>
      <c r="M117" s="4">
        <v>16000</v>
      </c>
      <c r="N117" s="12"/>
      <c r="O117" s="12"/>
      <c r="P117" s="12">
        <v>35000</v>
      </c>
      <c r="Q117" s="4">
        <f t="shared" si="20"/>
        <v>3528500</v>
      </c>
      <c r="T117" s="21"/>
    </row>
    <row r="118" spans="1:20" s="23" customFormat="1" ht="40.950000000000003" customHeight="1">
      <c r="A118" s="60" t="s">
        <v>184</v>
      </c>
      <c r="B118" s="60" t="s">
        <v>427</v>
      </c>
      <c r="C118" s="60" t="s">
        <v>107</v>
      </c>
      <c r="D118" s="109" t="s">
        <v>185</v>
      </c>
      <c r="E118" s="7" t="s">
        <v>10</v>
      </c>
      <c r="F118" s="4">
        <f t="shared" si="21"/>
        <v>4952791</v>
      </c>
      <c r="G118" s="4">
        <f>2784200+160000+14100+15000+24141+913000+923000+20200+13150+11000+75000</f>
        <v>4952791</v>
      </c>
      <c r="H118" s="12">
        <f>1744800+63000</f>
        <v>1807800</v>
      </c>
      <c r="I118" s="12">
        <f>263000-5240</f>
        <v>257760</v>
      </c>
      <c r="J118" s="12"/>
      <c r="K118" s="4">
        <f t="shared" si="22"/>
        <v>185000</v>
      </c>
      <c r="L118" s="4">
        <f>15000+37000+63000</f>
        <v>115000</v>
      </c>
      <c r="M118" s="4">
        <v>70000</v>
      </c>
      <c r="N118" s="12">
        <v>18000</v>
      </c>
      <c r="O118" s="12"/>
      <c r="P118" s="12">
        <f>15000+37000+63000</f>
        <v>115000</v>
      </c>
      <c r="Q118" s="4">
        <f t="shared" si="20"/>
        <v>5137791</v>
      </c>
      <c r="T118" s="21"/>
    </row>
    <row r="119" spans="1:20" s="23" customFormat="1" ht="63" customHeight="1">
      <c r="A119" s="60" t="s">
        <v>187</v>
      </c>
      <c r="B119" s="60" t="s">
        <v>428</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429</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430</v>
      </c>
      <c r="C121" s="60" t="s">
        <v>83</v>
      </c>
      <c r="D121" s="109" t="s">
        <v>236</v>
      </c>
      <c r="E121" s="7"/>
      <c r="F121" s="4">
        <f t="shared" si="21"/>
        <v>989450</v>
      </c>
      <c r="G121" s="4">
        <f>1200000+102000+200000+23600-145000-156150-224000-11000</f>
        <v>989450</v>
      </c>
      <c r="H121" s="12"/>
      <c r="I121" s="12"/>
      <c r="J121" s="12"/>
      <c r="K121" s="4">
        <f t="shared" si="22"/>
        <v>510200</v>
      </c>
      <c r="L121" s="4">
        <f>67000+195000+24200+224000</f>
        <v>510200</v>
      </c>
      <c r="M121" s="12"/>
      <c r="N121" s="4"/>
      <c r="O121" s="12"/>
      <c r="P121" s="12">
        <f>L121</f>
        <v>510200</v>
      </c>
      <c r="Q121" s="4">
        <f t="shared" si="20"/>
        <v>1499650</v>
      </c>
      <c r="T121" s="21"/>
    </row>
    <row r="122" spans="1:20" s="23" customFormat="1" ht="63.75" hidden="1" customHeight="1">
      <c r="A122" s="60" t="s">
        <v>321</v>
      </c>
      <c r="B122" s="60" t="s">
        <v>375</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471</v>
      </c>
      <c r="B123" s="60" t="s">
        <v>462</v>
      </c>
      <c r="C123" s="60" t="s">
        <v>463</v>
      </c>
      <c r="D123" s="109" t="s">
        <v>464</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9462456.4100000001</v>
      </c>
      <c r="G124" s="70">
        <f t="shared" ref="G124:P124" si="23">G125</f>
        <v>9462456.4100000001</v>
      </c>
      <c r="H124" s="71">
        <f t="shared" si="23"/>
        <v>4389800</v>
      </c>
      <c r="I124" s="98">
        <f t="shared" si="23"/>
        <v>579516.14</v>
      </c>
      <c r="J124" s="71">
        <f t="shared" si="23"/>
        <v>0</v>
      </c>
      <c r="K124" s="70">
        <f t="shared" si="23"/>
        <v>916352</v>
      </c>
      <c r="L124" s="70">
        <f t="shared" si="23"/>
        <v>840052</v>
      </c>
      <c r="M124" s="71">
        <f t="shared" si="23"/>
        <v>76300</v>
      </c>
      <c r="N124" s="71">
        <f t="shared" si="23"/>
        <v>49200</v>
      </c>
      <c r="O124" s="71">
        <f t="shared" si="23"/>
        <v>0</v>
      </c>
      <c r="P124" s="71">
        <f t="shared" si="23"/>
        <v>840052</v>
      </c>
      <c r="Q124" s="70">
        <f t="shared" si="20"/>
        <v>10378808.41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9462456.4100000001</v>
      </c>
      <c r="G125" s="80">
        <f>SUM(G126:G134)</f>
        <v>9462456.4100000001</v>
      </c>
      <c r="H125" s="80">
        <f t="shared" ref="H125:P125" si="24">SUM(H126:H134)</f>
        <v>4389800</v>
      </c>
      <c r="I125" s="80">
        <f t="shared" si="24"/>
        <v>579516.14</v>
      </c>
      <c r="J125" s="80">
        <f t="shared" si="24"/>
        <v>0</v>
      </c>
      <c r="K125" s="80">
        <f t="shared" si="24"/>
        <v>916352</v>
      </c>
      <c r="L125" s="80">
        <f t="shared" si="24"/>
        <v>840052</v>
      </c>
      <c r="M125" s="80">
        <f t="shared" si="24"/>
        <v>76300</v>
      </c>
      <c r="N125" s="80">
        <f t="shared" si="24"/>
        <v>49200</v>
      </c>
      <c r="O125" s="80">
        <f t="shared" si="24"/>
        <v>0</v>
      </c>
      <c r="P125" s="80">
        <f t="shared" si="24"/>
        <v>840052</v>
      </c>
      <c r="Q125" s="80">
        <f t="shared" si="20"/>
        <v>10378808.41</v>
      </c>
      <c r="T125" s="21"/>
    </row>
    <row r="126" spans="1:20" s="23" customFormat="1" ht="55.2" customHeight="1">
      <c r="A126" s="60" t="s">
        <v>153</v>
      </c>
      <c r="B126" s="60" t="s">
        <v>355</v>
      </c>
      <c r="C126" s="60" t="s">
        <v>60</v>
      </c>
      <c r="D126" s="107" t="s">
        <v>305</v>
      </c>
      <c r="E126" s="7"/>
      <c r="F126" s="4">
        <f t="shared" ref="F126:F134" si="25">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0"/>
        <v>1038900</v>
      </c>
      <c r="T126" s="21"/>
    </row>
    <row r="127" spans="1:20" s="23" customFormat="1" ht="39.75" customHeight="1">
      <c r="A127" s="60" t="s">
        <v>307</v>
      </c>
      <c r="B127" s="60" t="s">
        <v>279</v>
      </c>
      <c r="C127" s="62" t="s">
        <v>71</v>
      </c>
      <c r="D127" s="116" t="s">
        <v>138</v>
      </c>
      <c r="E127" s="7"/>
      <c r="F127" s="4">
        <f t="shared" si="25"/>
        <v>6400</v>
      </c>
      <c r="G127" s="4">
        <f>5000+1400</f>
        <v>6400</v>
      </c>
      <c r="H127" s="12"/>
      <c r="I127" s="12"/>
      <c r="J127" s="12"/>
      <c r="K127" s="4"/>
      <c r="L127" s="4"/>
      <c r="M127" s="12"/>
      <c r="N127" s="4"/>
      <c r="O127" s="12"/>
      <c r="P127" s="12"/>
      <c r="Q127" s="4">
        <f t="shared" si="20"/>
        <v>6400</v>
      </c>
      <c r="T127" s="21"/>
    </row>
    <row r="128" spans="1:20" s="23" customFormat="1" ht="34.950000000000003" customHeight="1">
      <c r="A128" s="60" t="s">
        <v>206</v>
      </c>
      <c r="B128" s="60" t="s">
        <v>431</v>
      </c>
      <c r="C128" s="60" t="s">
        <v>76</v>
      </c>
      <c r="D128" s="109" t="s">
        <v>93</v>
      </c>
      <c r="E128" s="7"/>
      <c r="F128" s="4">
        <f t="shared" si="25"/>
        <v>789300</v>
      </c>
      <c r="G128" s="4">
        <f>802000+33500-25000-45700-50000+100000-10500-15000</f>
        <v>789300</v>
      </c>
      <c r="H128" s="12"/>
      <c r="I128" s="12"/>
      <c r="J128" s="12"/>
      <c r="K128" s="4">
        <f t="shared" ref="K128:K134" si="26">M128+P128</f>
        <v>48000</v>
      </c>
      <c r="L128" s="4">
        <f>50000-2000</f>
        <v>48000</v>
      </c>
      <c r="M128" s="12"/>
      <c r="N128" s="4"/>
      <c r="O128" s="12"/>
      <c r="P128" s="12">
        <f>L128</f>
        <v>48000</v>
      </c>
      <c r="Q128" s="4">
        <f t="shared" si="20"/>
        <v>837300</v>
      </c>
      <c r="T128" s="21"/>
    </row>
    <row r="129" spans="1:20" s="23" customFormat="1" ht="56.4" customHeight="1">
      <c r="A129" s="60" t="s">
        <v>154</v>
      </c>
      <c r="B129" s="60" t="s">
        <v>432</v>
      </c>
      <c r="C129" s="60" t="s">
        <v>76</v>
      </c>
      <c r="D129" s="109" t="s">
        <v>94</v>
      </c>
      <c r="E129" s="7"/>
      <c r="F129" s="4">
        <f t="shared" si="25"/>
        <v>263000</v>
      </c>
      <c r="G129" s="4">
        <f>146500+46500+50000+20000</f>
        <v>263000</v>
      </c>
      <c r="H129" s="12"/>
      <c r="I129" s="12"/>
      <c r="J129" s="12"/>
      <c r="K129" s="4">
        <f t="shared" si="26"/>
        <v>0</v>
      </c>
      <c r="L129" s="4"/>
      <c r="M129" s="12"/>
      <c r="N129" s="4"/>
      <c r="O129" s="12"/>
      <c r="P129" s="12"/>
      <c r="Q129" s="4">
        <f t="shared" si="20"/>
        <v>263000</v>
      </c>
      <c r="T129" s="21"/>
    </row>
    <row r="130" spans="1:20" s="23" customFormat="1" ht="54.6" customHeight="1">
      <c r="A130" s="60" t="s">
        <v>514</v>
      </c>
      <c r="B130" s="60" t="s">
        <v>388</v>
      </c>
      <c r="C130" s="63" t="s">
        <v>76</v>
      </c>
      <c r="D130" s="112" t="s">
        <v>92</v>
      </c>
      <c r="E130" s="7"/>
      <c r="F130" s="123">
        <f t="shared" si="25"/>
        <v>3785309.4099999997</v>
      </c>
      <c r="G130" s="123">
        <f>3744603.36+38206.05+15000-12500</f>
        <v>3785309.4099999997</v>
      </c>
      <c r="H130" s="122">
        <f>2469100+30000</f>
        <v>2499100</v>
      </c>
      <c r="I130" s="122">
        <v>408516.14</v>
      </c>
      <c r="J130" s="12"/>
      <c r="K130" s="4">
        <f t="shared" si="26"/>
        <v>50000</v>
      </c>
      <c r="L130" s="4">
        <v>50000</v>
      </c>
      <c r="M130" s="12"/>
      <c r="N130" s="4"/>
      <c r="O130" s="12"/>
      <c r="P130" s="12">
        <v>50000</v>
      </c>
      <c r="Q130" s="123">
        <f t="shared" si="20"/>
        <v>3835309.4099999997</v>
      </c>
      <c r="T130" s="21"/>
    </row>
    <row r="131" spans="1:20" s="23" customFormat="1" ht="54.6" customHeight="1">
      <c r="A131" s="60" t="s">
        <v>156</v>
      </c>
      <c r="B131" s="60" t="s">
        <v>433</v>
      </c>
      <c r="C131" s="60" t="s">
        <v>76</v>
      </c>
      <c r="D131" s="109" t="s">
        <v>95</v>
      </c>
      <c r="E131" s="7"/>
      <c r="F131" s="4">
        <f t="shared" si="25"/>
        <v>1501000</v>
      </c>
      <c r="G131" s="4">
        <f>1100000+121000+10000+270000</f>
        <v>1501000</v>
      </c>
      <c r="H131" s="12"/>
      <c r="I131" s="12"/>
      <c r="J131" s="12"/>
      <c r="K131" s="4">
        <f t="shared" si="26"/>
        <v>0</v>
      </c>
      <c r="L131" s="4"/>
      <c r="M131" s="12"/>
      <c r="N131" s="4"/>
      <c r="O131" s="12"/>
      <c r="P131" s="12"/>
      <c r="Q131" s="4">
        <f t="shared" si="20"/>
        <v>1501000</v>
      </c>
      <c r="T131" s="21"/>
    </row>
    <row r="132" spans="1:20" s="23" customFormat="1" ht="91.5" customHeight="1">
      <c r="A132" s="60" t="s">
        <v>155</v>
      </c>
      <c r="B132" s="60" t="s">
        <v>434</v>
      </c>
      <c r="C132" s="60" t="s">
        <v>76</v>
      </c>
      <c r="D132" s="109" t="s">
        <v>299</v>
      </c>
      <c r="E132" s="7"/>
      <c r="F132" s="4">
        <f t="shared" si="25"/>
        <v>2107877</v>
      </c>
      <c r="G132" s="4">
        <f>1550000+10000+6000+94439+180000+139200+26238+6000+49000+47000</f>
        <v>2107877</v>
      </c>
      <c r="H132" s="12">
        <v>1115000</v>
      </c>
      <c r="I132" s="12">
        <v>150900</v>
      </c>
      <c r="J132" s="12"/>
      <c r="K132" s="4">
        <f t="shared" si="26"/>
        <v>706052</v>
      </c>
      <c r="L132" s="4">
        <f>318800+90000+246990-26038</f>
        <v>629752</v>
      </c>
      <c r="M132" s="12">
        <v>76300</v>
      </c>
      <c r="N132" s="4">
        <v>49200</v>
      </c>
      <c r="O132" s="12"/>
      <c r="P132" s="12">
        <f>318800+90000+246990-26038</f>
        <v>629752</v>
      </c>
      <c r="Q132" s="4">
        <f>F132+K132</f>
        <v>2813929</v>
      </c>
      <c r="T132" s="21"/>
    </row>
    <row r="133" spans="1:20" s="23" customFormat="1" ht="48.6" hidden="1" customHeight="1">
      <c r="A133" s="60" t="s">
        <v>283</v>
      </c>
      <c r="B133" s="60" t="s">
        <v>375</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472</v>
      </c>
      <c r="B134" s="60" t="s">
        <v>462</v>
      </c>
      <c r="C134" s="60" t="s">
        <v>463</v>
      </c>
      <c r="D134" s="109" t="s">
        <v>464</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49974617</v>
      </c>
      <c r="G135" s="70">
        <f>G136</f>
        <v>36868684</v>
      </c>
      <c r="H135" s="71">
        <f>H136</f>
        <v>3570000</v>
      </c>
      <c r="I135" s="71">
        <f>I136</f>
        <v>6194950</v>
      </c>
      <c r="J135" s="71">
        <f t="shared" ref="J135:P135" si="27">J136</f>
        <v>13105933</v>
      </c>
      <c r="K135" s="70">
        <f t="shared" si="27"/>
        <v>65987059.219999999</v>
      </c>
      <c r="L135" s="70">
        <f t="shared" si="27"/>
        <v>64632882.100000001</v>
      </c>
      <c r="M135" s="70">
        <f t="shared" si="27"/>
        <v>884177.12</v>
      </c>
      <c r="N135" s="71">
        <f t="shared" si="27"/>
        <v>0</v>
      </c>
      <c r="O135" s="71">
        <f t="shared" si="27"/>
        <v>0</v>
      </c>
      <c r="P135" s="70">
        <f t="shared" si="27"/>
        <v>65102882.100000001</v>
      </c>
      <c r="Q135" s="70">
        <f t="shared" si="20"/>
        <v>115961676.22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49974617</v>
      </c>
      <c r="G136" s="91">
        <f t="shared" si="28"/>
        <v>36868684</v>
      </c>
      <c r="H136" s="92">
        <f t="shared" si="28"/>
        <v>3570000</v>
      </c>
      <c r="I136" s="92">
        <f t="shared" si="28"/>
        <v>6194950</v>
      </c>
      <c r="J136" s="92">
        <f t="shared" si="28"/>
        <v>13105933</v>
      </c>
      <c r="K136" s="91">
        <f>SUM(K137:K172)+K173</f>
        <v>65987059.219999999</v>
      </c>
      <c r="L136" s="91">
        <f t="shared" si="28"/>
        <v>64632882.100000001</v>
      </c>
      <c r="M136" s="91">
        <f t="shared" si="28"/>
        <v>884177.12</v>
      </c>
      <c r="N136" s="92">
        <f t="shared" si="28"/>
        <v>0</v>
      </c>
      <c r="O136" s="92">
        <f t="shared" si="28"/>
        <v>0</v>
      </c>
      <c r="P136" s="92">
        <f>SUM(P137:P172)+P173</f>
        <v>65102882.100000001</v>
      </c>
      <c r="Q136" s="80">
        <f t="shared" si="20"/>
        <v>115961676.22</v>
      </c>
      <c r="T136" s="27"/>
    </row>
    <row r="137" spans="1:20" s="8" customFormat="1" ht="84" customHeight="1">
      <c r="A137" s="60" t="s">
        <v>191</v>
      </c>
      <c r="B137" s="60" t="s">
        <v>355</v>
      </c>
      <c r="C137" s="60" t="s">
        <v>60</v>
      </c>
      <c r="D137" s="107" t="s">
        <v>305</v>
      </c>
      <c r="E137" s="7" t="s">
        <v>2</v>
      </c>
      <c r="F137" s="4">
        <f t="shared" ref="F137:F173" si="29">G137+J137</f>
        <v>4617900</v>
      </c>
      <c r="G137" s="4">
        <f>4407900+210000</f>
        <v>4617900</v>
      </c>
      <c r="H137" s="12">
        <v>3570000</v>
      </c>
      <c r="I137" s="12">
        <v>192950</v>
      </c>
      <c r="J137" s="12"/>
      <c r="K137" s="4">
        <f t="shared" ref="K137:K173" si="30">M137+P137</f>
        <v>200000</v>
      </c>
      <c r="L137" s="4"/>
      <c r="M137" s="57">
        <v>100000</v>
      </c>
      <c r="N137" s="4"/>
      <c r="O137" s="12"/>
      <c r="P137" s="12">
        <v>100000</v>
      </c>
      <c r="Q137" s="4">
        <f t="shared" si="20"/>
        <v>4817900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422</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435</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436</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437</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435</v>
      </c>
      <c r="C143" s="60" t="s">
        <v>76</v>
      </c>
      <c r="D143" s="108" t="s">
        <v>511</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437</v>
      </c>
      <c r="C144" s="60" t="s">
        <v>315</v>
      </c>
      <c r="D144" s="108" t="s">
        <v>513</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438</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473</v>
      </c>
      <c r="C146" s="60" t="s">
        <v>67</v>
      </c>
      <c r="D146" s="108"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439</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440</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441</v>
      </c>
      <c r="C149" s="60" t="s">
        <v>67</v>
      </c>
      <c r="D149" s="109" t="s">
        <v>194</v>
      </c>
      <c r="E149" s="7" t="s">
        <v>46</v>
      </c>
      <c r="F149" s="38">
        <f t="shared" si="29"/>
        <v>26636863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f>
        <v>16771863</v>
      </c>
      <c r="H149" s="12"/>
      <c r="I149" s="12">
        <v>6002000</v>
      </c>
      <c r="J149" s="12">
        <f>8140000+1700000+25000</f>
        <v>9865000</v>
      </c>
      <c r="K149" s="38">
        <f t="shared" si="30"/>
        <v>564912.12</v>
      </c>
      <c r="L149" s="38">
        <f>150000+199750+90000+19000+199900-40000-90000+16400+18000</f>
        <v>563050</v>
      </c>
      <c r="M149" s="49">
        <v>1862.12</v>
      </c>
      <c r="N149" s="4"/>
      <c r="O149" s="12"/>
      <c r="P149" s="47">
        <f>L149</f>
        <v>563050</v>
      </c>
      <c r="Q149" s="38">
        <f t="shared" si="20"/>
        <v>27201775.120000001</v>
      </c>
      <c r="T149" s="19"/>
    </row>
    <row r="150" spans="1:20" s="23" customFormat="1" ht="46.2" customHeight="1">
      <c r="A150" s="127">
        <v>1217130</v>
      </c>
      <c r="B150" s="60" t="s">
        <v>374</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442</v>
      </c>
      <c r="C151" s="60"/>
      <c r="D151" s="114" t="s">
        <v>497</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389</v>
      </c>
      <c r="C152" s="61" t="s">
        <v>82</v>
      </c>
      <c r="D152" s="10" t="s">
        <v>498</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512</v>
      </c>
      <c r="B153" s="60" t="s">
        <v>443</v>
      </c>
      <c r="C153" s="61" t="s">
        <v>82</v>
      </c>
      <c r="D153" s="10" t="s">
        <v>486</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444</v>
      </c>
      <c r="C154" s="61" t="s">
        <v>82</v>
      </c>
      <c r="D154" s="10" t="s">
        <v>491</v>
      </c>
      <c r="E154" s="13"/>
      <c r="F154" s="4">
        <f t="shared" si="29"/>
        <v>0</v>
      </c>
      <c r="G154" s="4"/>
      <c r="H154" s="12"/>
      <c r="I154" s="12"/>
      <c r="J154" s="12"/>
      <c r="K154" s="4">
        <f t="shared" si="30"/>
        <v>4263534</v>
      </c>
      <c r="L154" s="4">
        <f>4000000+263534</f>
        <v>4263534</v>
      </c>
      <c r="M154" s="49"/>
      <c r="N154" s="4"/>
      <c r="O154" s="12"/>
      <c r="P154" s="12">
        <f t="shared" si="31"/>
        <v>4263534</v>
      </c>
      <c r="Q154" s="4">
        <f t="shared" si="20"/>
        <v>4263534</v>
      </c>
      <c r="T154" s="19"/>
    </row>
    <row r="155" spans="1:20" s="8" customFormat="1" ht="3" hidden="1" customHeight="1">
      <c r="A155" s="60" t="s">
        <v>261</v>
      </c>
      <c r="B155" s="60" t="s">
        <v>444</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445</v>
      </c>
      <c r="C156" s="60" t="s">
        <v>82</v>
      </c>
      <c r="D156" s="10" t="s">
        <v>499</v>
      </c>
      <c r="E156" s="7"/>
      <c r="F156" s="4">
        <f t="shared" si="29"/>
        <v>0</v>
      </c>
      <c r="G156" s="4"/>
      <c r="H156" s="12"/>
      <c r="I156" s="12"/>
      <c r="J156" s="12"/>
      <c r="K156" s="38">
        <f t="shared" si="30"/>
        <v>8330486.1499999994</v>
      </c>
      <c r="L156" s="38">
        <f>9765668+4976385+120000+244190+166810+170000-569490-3685649-44147.8-7352.1+50000+150000-4976385+12000+25000+49500+24500+15000+1500000+500000+100-100000-22642.95-13000-20000</f>
        <v>8330486.1499999994</v>
      </c>
      <c r="M156" s="49"/>
      <c r="N156" s="4"/>
      <c r="O156" s="12"/>
      <c r="P156" s="47">
        <f t="shared" si="31"/>
        <v>8330486.1499999994</v>
      </c>
      <c r="Q156" s="38">
        <f t="shared" si="20"/>
        <v>8330486.1499999994</v>
      </c>
      <c r="T156" s="19"/>
    </row>
    <row r="157" spans="1:20" s="8" customFormat="1" ht="42" customHeight="1">
      <c r="A157" s="60" t="s">
        <v>281</v>
      </c>
      <c r="B157" s="60" t="s">
        <v>446</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447</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448</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449</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375</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447</v>
      </c>
      <c r="C162" s="60" t="s">
        <v>82</v>
      </c>
      <c r="D162" s="10" t="s">
        <v>460</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519</v>
      </c>
      <c r="B163" s="60" t="s">
        <v>520</v>
      </c>
      <c r="C163" s="60" t="s">
        <v>209</v>
      </c>
      <c r="D163" s="10" t="s">
        <v>521</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450</v>
      </c>
      <c r="C164" s="60" t="s">
        <v>256</v>
      </c>
      <c r="D164" s="58" t="s">
        <v>269</v>
      </c>
      <c r="E164" s="7"/>
      <c r="F164" s="38">
        <f t="shared" si="29"/>
        <v>14029997</v>
      </c>
      <c r="G164" s="38">
        <f>15984972+196867+26614+31318+40999+500000-26614-5396961+56614+2048000+398300-188068+305956+52000</f>
        <v>14029997</v>
      </c>
      <c r="H164" s="12"/>
      <c r="I164" s="12"/>
      <c r="J164" s="12"/>
      <c r="K164" s="38">
        <f t="shared" si="30"/>
        <v>21063213</v>
      </c>
      <c r="L164" s="4">
        <f>25886197-340798+45000+2058961-7011720+47474+708182+230973-569490</f>
        <v>21054779</v>
      </c>
      <c r="M164" s="49">
        <f>8434</f>
        <v>8434</v>
      </c>
      <c r="N164" s="4"/>
      <c r="O164" s="12"/>
      <c r="P164" s="12">
        <f t="shared" si="31"/>
        <v>21054779</v>
      </c>
      <c r="Q164" s="38">
        <f t="shared" si="20"/>
        <v>35093210</v>
      </c>
      <c r="T164" s="19"/>
    </row>
    <row r="165" spans="1:20" s="8" customFormat="1" ht="44.4" customHeight="1">
      <c r="A165" s="60" t="s">
        <v>475</v>
      </c>
      <c r="B165" s="60" t="s">
        <v>462</v>
      </c>
      <c r="C165" s="60" t="s">
        <v>463</v>
      </c>
      <c r="D165" s="109" t="s">
        <v>464</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476</v>
      </c>
      <c r="B166" s="60" t="s">
        <v>377</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378</v>
      </c>
      <c r="C167" s="60" t="s">
        <v>209</v>
      </c>
      <c r="D167" s="109" t="s">
        <v>301</v>
      </c>
      <c r="E167" s="7"/>
      <c r="F167" s="4">
        <f t="shared" si="29"/>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0" t="s">
        <v>501</v>
      </c>
      <c r="B168" s="60" t="s">
        <v>502</v>
      </c>
      <c r="C168" s="60" t="s">
        <v>209</v>
      </c>
      <c r="D168" s="109" t="s">
        <v>503</v>
      </c>
      <c r="E168" s="7"/>
      <c r="F168" s="4">
        <f>G168+J168</f>
        <v>416233</v>
      </c>
      <c r="G168" s="4">
        <v>0</v>
      </c>
      <c r="H168" s="12"/>
      <c r="I168" s="12"/>
      <c r="J168" s="12">
        <f>142000+174233+100000</f>
        <v>416233</v>
      </c>
      <c r="K168" s="4">
        <v>0</v>
      </c>
      <c r="L168" s="4"/>
      <c r="M168" s="49"/>
      <c r="N168" s="4"/>
      <c r="O168" s="12"/>
      <c r="P168" s="12"/>
      <c r="Q168" s="4">
        <f>F168+K168</f>
        <v>416233</v>
      </c>
      <c r="T168" s="19"/>
    </row>
    <row r="169" spans="1:20" s="8" customFormat="1" ht="61.2" customHeight="1">
      <c r="A169" s="60" t="s">
        <v>197</v>
      </c>
      <c r="B169" s="60" t="s">
        <v>380</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391</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477</v>
      </c>
      <c r="B171" s="62" t="s">
        <v>466</v>
      </c>
      <c r="C171" s="62" t="s">
        <v>467</v>
      </c>
      <c r="D171" s="110" t="s">
        <v>468</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451</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504</v>
      </c>
      <c r="B173" s="60" t="s">
        <v>505</v>
      </c>
      <c r="C173" s="60" t="s">
        <v>506</v>
      </c>
      <c r="D173" s="109" t="s">
        <v>507</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492</v>
      </c>
      <c r="E174" s="76"/>
      <c r="F174" s="70">
        <f>F175</f>
        <v>3262050</v>
      </c>
      <c r="G174" s="70">
        <f t="shared" ref="G174:P174" si="32">G175</f>
        <v>3262050</v>
      </c>
      <c r="H174" s="71">
        <f t="shared" si="32"/>
        <v>2366800</v>
      </c>
      <c r="I174" s="71">
        <f t="shared" si="32"/>
        <v>81250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81250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355</v>
      </c>
      <c r="C176" s="60" t="s">
        <v>60</v>
      </c>
      <c r="D176" s="107" t="s">
        <v>302</v>
      </c>
      <c r="E176" s="7"/>
      <c r="F176" s="4">
        <f>G176</f>
        <v>3054400</v>
      </c>
      <c r="G176" s="4">
        <f>2905400+137000+12000</f>
        <v>3054400</v>
      </c>
      <c r="H176" s="12">
        <f>2356800+10000</f>
        <v>2366800</v>
      </c>
      <c r="I176" s="12">
        <f>77350+3900</f>
        <v>81250</v>
      </c>
      <c r="J176" s="12"/>
      <c r="K176" s="4">
        <f t="shared" ref="K176:K181" si="35">M176+P176</f>
        <v>0</v>
      </c>
      <c r="L176" s="4"/>
      <c r="M176" s="49"/>
      <c r="N176" s="4"/>
      <c r="O176" s="12"/>
      <c r="P176" s="12">
        <f>L176</f>
        <v>0</v>
      </c>
      <c r="Q176" s="4">
        <f t="shared" si="34"/>
        <v>3054400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374</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452</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478</v>
      </c>
      <c r="B180" s="60" t="s">
        <v>462</v>
      </c>
      <c r="C180" s="60" t="s">
        <v>463</v>
      </c>
      <c r="D180" s="109" t="s">
        <v>464</v>
      </c>
      <c r="E180" s="7"/>
      <c r="F180" s="4">
        <f>G180+J180</f>
        <v>65000</v>
      </c>
      <c r="G180" s="4">
        <f>35000+30000</f>
        <v>65000</v>
      </c>
      <c r="H180" s="12"/>
      <c r="I180" s="12"/>
      <c r="J180" s="12"/>
      <c r="K180" s="4">
        <f t="shared" si="35"/>
        <v>45000</v>
      </c>
      <c r="L180" s="4">
        <f>25000+20000</f>
        <v>45000</v>
      </c>
      <c r="M180" s="4"/>
      <c r="N180" s="4"/>
      <c r="O180" s="12"/>
      <c r="P180" s="12">
        <f>25000+20000</f>
        <v>45000</v>
      </c>
      <c r="Q180" s="4">
        <f>F180+K180</f>
        <v>110000</v>
      </c>
      <c r="T180" s="19"/>
    </row>
    <row r="181" spans="1:20" s="8" customFormat="1" ht="81.75" hidden="1" customHeight="1">
      <c r="A181" s="60" t="s">
        <v>348</v>
      </c>
      <c r="B181" s="60" t="s">
        <v>453</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10120800.9</v>
      </c>
      <c r="G182" s="98">
        <f t="shared" ref="G182:P182" si="36">G183</f>
        <v>6813064</v>
      </c>
      <c r="H182" s="71">
        <f t="shared" si="36"/>
        <v>4978000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10182800.9</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10120800.9</v>
      </c>
      <c r="G183" s="100">
        <f t="shared" ref="G183:P183" si="37">SUM(G184:G192)</f>
        <v>6813064</v>
      </c>
      <c r="H183" s="100">
        <f t="shared" si="37"/>
        <v>4978000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10182800.9</v>
      </c>
      <c r="R183" s="14"/>
      <c r="T183" s="21"/>
    </row>
    <row r="184" spans="1:20" s="8" customFormat="1" ht="74.400000000000006" customHeight="1">
      <c r="A184" s="60" t="s">
        <v>203</v>
      </c>
      <c r="B184" s="60" t="s">
        <v>355</v>
      </c>
      <c r="C184" s="60" t="s">
        <v>60</v>
      </c>
      <c r="D184" s="107" t="s">
        <v>302</v>
      </c>
      <c r="E184" s="7" t="s">
        <v>2</v>
      </c>
      <c r="F184" s="4">
        <f>G184+J184</f>
        <v>6196212</v>
      </c>
      <c r="G184" s="4">
        <f>5063500+12+247000-2000-12300+900000</f>
        <v>6196212</v>
      </c>
      <c r="H184" s="12">
        <f>4158000+750000+70000</f>
        <v>4978000</v>
      </c>
      <c r="I184" s="12">
        <v>114000</v>
      </c>
      <c r="J184" s="12"/>
      <c r="K184" s="4">
        <f t="shared" ref="K184:K192" si="38">M184+P184</f>
        <v>12000</v>
      </c>
      <c r="L184" s="4">
        <f>10000+2000</f>
        <v>12000</v>
      </c>
      <c r="M184" s="12"/>
      <c r="N184" s="4"/>
      <c r="O184" s="12"/>
      <c r="P184" s="12">
        <f>10000+2000</f>
        <v>12000</v>
      </c>
      <c r="Q184" s="4">
        <f t="shared" si="34"/>
        <v>6208212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479</v>
      </c>
      <c r="B186" s="60" t="s">
        <v>462</v>
      </c>
      <c r="C186" s="60" t="s">
        <v>463</v>
      </c>
      <c r="D186" s="109" t="s">
        <v>464</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454</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455</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456</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f>
        <v>1107736.9000000004</v>
      </c>
      <c r="G189" s="4"/>
      <c r="H189" s="12"/>
      <c r="I189" s="12"/>
      <c r="J189" s="12"/>
      <c r="K189" s="4">
        <f t="shared" si="38"/>
        <v>0</v>
      </c>
      <c r="L189" s="4"/>
      <c r="M189" s="12"/>
      <c r="N189" s="4"/>
      <c r="O189" s="12"/>
      <c r="P189" s="12"/>
      <c r="Q189" s="38">
        <f>F189+K189</f>
        <v>1107736.9000000004</v>
      </c>
      <c r="T189" s="19"/>
    </row>
    <row r="190" spans="1:20" s="8" customFormat="1" ht="48.6" hidden="1" customHeight="1">
      <c r="A190" s="60" t="s">
        <v>284</v>
      </c>
      <c r="B190" s="60" t="s">
        <v>457</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457</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458</v>
      </c>
      <c r="C192" s="60" t="s">
        <v>279</v>
      </c>
      <c r="D192" s="107" t="s">
        <v>526</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436082491.56</v>
      </c>
      <c r="G193" s="80">
        <f>G11+G49+G112+G124+G135+G182+G69+G174</f>
        <v>418737197.66000003</v>
      </c>
      <c r="H193" s="80">
        <f>H11+H49+H112+H124+H135+H182+H69+H174</f>
        <v>221049307.38</v>
      </c>
      <c r="I193" s="80">
        <f>I11+I49+I112+I124+I135+I182+I69+I174</f>
        <v>31154390</v>
      </c>
      <c r="J193" s="75">
        <f>J11+J49+J112+J124+J135+J182+J69</f>
        <v>16237557</v>
      </c>
      <c r="K193" s="80">
        <f>K11+K49+K112+K124+K135+K182+K69+K174</f>
        <v>110052943.47999999</v>
      </c>
      <c r="L193" s="80">
        <f>L11+L49+L112+L124+L135+L182+L69+L174</f>
        <v>98970466.359999999</v>
      </c>
      <c r="M193" s="80">
        <f>M11+M49+M112+M124+M135+M182+M69+M174</f>
        <v>10612477.119999999</v>
      </c>
      <c r="N193" s="75">
        <f>N11+N49+N112+N124+N135+N182+N69</f>
        <v>474400</v>
      </c>
      <c r="O193" s="75">
        <f>O11+O49+O112+O124+O135+O182+O69</f>
        <v>296300</v>
      </c>
      <c r="P193" s="80">
        <f>P11+P49+P112+P124+P135+P182+P69+P174</f>
        <v>99440466.359999999</v>
      </c>
      <c r="Q193" s="80">
        <f t="shared" si="34"/>
        <v>546135435.03999996</v>
      </c>
      <c r="R193" s="105">
        <v>546135435.03999996</v>
      </c>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5" customHeight="1">
      <c r="A198" s="101"/>
      <c r="B198" s="101"/>
      <c r="C198" s="101"/>
      <c r="D198" s="102" t="s">
        <v>517</v>
      </c>
      <c r="E198" s="101"/>
      <c r="F198" s="103"/>
      <c r="G198" s="103"/>
      <c r="H198" s="103"/>
      <c r="I198" s="103"/>
      <c r="J198" s="104"/>
      <c r="K198" s="103"/>
      <c r="L198" s="103"/>
      <c r="M198" s="103" t="s">
        <v>518</v>
      </c>
      <c r="N198" s="104"/>
      <c r="O198" s="104"/>
      <c r="P198" s="103"/>
      <c r="Q198" s="103"/>
      <c r="R198" s="105"/>
      <c r="S198" s="106"/>
      <c r="T198" s="15"/>
    </row>
    <row r="199" spans="1:20" s="14" customFormat="1" ht="57" customHeight="1">
      <c r="A199" s="145"/>
      <c r="B199" s="145"/>
      <c r="C199" s="145"/>
      <c r="D199" s="145"/>
      <c r="E199" s="145"/>
      <c r="F199" s="145"/>
      <c r="G199" s="145"/>
      <c r="H199" s="145"/>
      <c r="I199" s="145"/>
      <c r="J199" s="145"/>
      <c r="K199" s="145"/>
      <c r="L199" s="145"/>
      <c r="M199" s="145"/>
      <c r="N199" s="145"/>
      <c r="O199" s="145"/>
      <c r="P199" s="145"/>
      <c r="Q199" s="145"/>
      <c r="T199" s="15"/>
    </row>
    <row r="200" spans="1:20" s="28" customFormat="1" ht="21.75" customHeight="1">
      <c r="A200" s="145"/>
      <c r="B200" s="145"/>
      <c r="C200" s="145"/>
      <c r="D200" s="145"/>
      <c r="E200" s="145"/>
      <c r="F200" s="145"/>
      <c r="G200" s="145"/>
      <c r="H200" s="145"/>
      <c r="I200" s="145"/>
      <c r="J200" s="145"/>
      <c r="K200" s="145"/>
      <c r="L200" s="145"/>
      <c r="M200" s="145"/>
      <c r="N200" s="145"/>
      <c r="O200" s="145"/>
      <c r="P200" s="145"/>
      <c r="Q200" s="145"/>
      <c r="T200" s="29"/>
    </row>
    <row r="203" spans="1:20" ht="24.75" customHeight="1">
      <c r="Q203" s="125"/>
    </row>
  </sheetData>
  <mergeCells count="30">
    <mergeCell ref="A199:Q200"/>
    <mergeCell ref="N7:O7"/>
    <mergeCell ref="P7:P9"/>
    <mergeCell ref="H8:H9"/>
    <mergeCell ref="I8:I9"/>
    <mergeCell ref="N8:N9"/>
    <mergeCell ref="O8:O9"/>
    <mergeCell ref="E6:E9"/>
    <mergeCell ref="F6:I6"/>
    <mergeCell ref="K6:P6"/>
    <mergeCell ref="Q6:Q9"/>
    <mergeCell ref="F7:F9"/>
    <mergeCell ref="G7:G9"/>
    <mergeCell ref="H7:I7"/>
    <mergeCell ref="J7:J9"/>
    <mergeCell ref="K7:K9"/>
    <mergeCell ref="L7:L9"/>
    <mergeCell ref="M7:M9"/>
    <mergeCell ref="A5:C5"/>
    <mergeCell ref="A6:A9"/>
    <mergeCell ref="B6:B9"/>
    <mergeCell ref="C6:C9"/>
    <mergeCell ref="D6:D9"/>
    <mergeCell ref="A4:C4"/>
    <mergeCell ref="N4:Q4"/>
    <mergeCell ref="N1:Q1"/>
    <mergeCell ref="A2:M2"/>
    <mergeCell ref="N2:Q2"/>
    <mergeCell ref="A3:M3"/>
    <mergeCell ref="N3:Q3"/>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(2)</vt:lpstr>
      <vt:lpstr>'дод 3 (2)'!Заголовки_для_печати</vt:lpstr>
      <vt:lpstr>'дод 3 (2)'!Область_печати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2020-10-15T07:30:12Z</cp:lastPrinted>
  <dcterms:created xsi:type="dcterms:W3CDTF">2002-10-09T16:25:59Z</dcterms:created>
  <dcterms:modified xsi:type="dcterms:W3CDTF">2020-10-15T07:36:34Z</dcterms:modified>
</cp:coreProperties>
</file>