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18.11.2020" sheetId="1" r:id="rId1"/>
  </sheets>
  <definedNames>
    <definedName name="_xlnm.Print_Titles" localSheetId="0">'18.11.2020'!$3:$5</definedName>
    <definedName name="_xlnm.Print_Area" localSheetId="0">'18.11.2020'!$A$1:$O$175</definedName>
  </definedNames>
  <calcPr fullCalcOnLoad="1"/>
</workbook>
</file>

<file path=xl/sharedStrings.xml><?xml version="1.0" encoding="utf-8"?>
<sst xmlns="http://schemas.openxmlformats.org/spreadsheetml/2006/main" count="177" uniqueCount="159">
  <si>
    <t>тис. грн</t>
  </si>
  <si>
    <t>ВСЬОГО</t>
  </si>
  <si>
    <t>у тому числі</t>
  </si>
  <si>
    <t>доплати до заробітної плати медичним працівникам</t>
  </si>
  <si>
    <t>придбання обладнання</t>
  </si>
  <si>
    <t>на медикаменти та дезинфікуючі засоби, засоби індивідуального захисту медичного персоналу</t>
  </si>
  <si>
    <t>інші протиепідемічні заходи</t>
  </si>
  <si>
    <t>на засоби для індивідуального захисту цивільного населення</t>
  </si>
  <si>
    <t>Установи</t>
  </si>
  <si>
    <t>деззасоби</t>
  </si>
  <si>
    <t>медикаменти</t>
  </si>
  <si>
    <t>рідке мило, паперові рушники</t>
  </si>
  <si>
    <t>Освіта в т.ч.</t>
  </si>
  <si>
    <t>Пологовий будинок в т.ч.</t>
  </si>
  <si>
    <t>рукавички</t>
  </si>
  <si>
    <t>щитки захисні лицьові, респіратори</t>
  </si>
  <si>
    <t>шапочки медичні, бахили</t>
  </si>
  <si>
    <t>опромінювачі бактерицидні</t>
  </si>
  <si>
    <t>матеріали медичні</t>
  </si>
  <si>
    <t>безконтактні термометри</t>
  </si>
  <si>
    <t>ЦМЛ в т.ч.</t>
  </si>
  <si>
    <t>ящики для кисневих балонів</t>
  </si>
  <si>
    <t>поточний ремонт та обслуговування кисневих концентраторів</t>
  </si>
  <si>
    <t>дезінфекційні тримачі</t>
  </si>
  <si>
    <t>дезінфекційні килимки</t>
  </si>
  <si>
    <t>дезінфікуючі засоби</t>
  </si>
  <si>
    <t>захисні костюми для лікарів</t>
  </si>
  <si>
    <t>лампи бактерицидні</t>
  </si>
  <si>
    <t>спирт медичний</t>
  </si>
  <si>
    <t>респіратори</t>
  </si>
  <si>
    <t>щитки захисні</t>
  </si>
  <si>
    <t>Територіальний центр в т.ч.</t>
  </si>
  <si>
    <t>РАЗОМ</t>
  </si>
  <si>
    <t>концентратор</t>
  </si>
  <si>
    <t>монітори пацієнта</t>
  </si>
  <si>
    <t>насос шприцевий</t>
  </si>
  <si>
    <t>будиночок біля шлагбауму КПП</t>
  </si>
  <si>
    <t>відеоларингоскоп</t>
  </si>
  <si>
    <t>Виконком</t>
  </si>
  <si>
    <t>УЖКГ та будівництва</t>
  </si>
  <si>
    <t>ПЕРЕДБАЧЕНО</t>
  </si>
  <si>
    <t>ПРОФІНАНСОВАНО</t>
  </si>
  <si>
    <t>доплати до заробітної плати соцпрацівникам</t>
  </si>
  <si>
    <t>доплати до заробітної плати медпрацівникам</t>
  </si>
  <si>
    <t>халати протиепідемічні</t>
  </si>
  <si>
    <t>термометри</t>
  </si>
  <si>
    <t>перегородка в офтальмологічне  відділення</t>
  </si>
  <si>
    <t>маски кисневі</t>
  </si>
  <si>
    <t>пробірки, аплікатори</t>
  </si>
  <si>
    <t>перевезення працівників</t>
  </si>
  <si>
    <t>доплати до заробітної плати медичним працівникам та праціникам соц.захисту</t>
  </si>
  <si>
    <t>аналізатор газів</t>
  </si>
  <si>
    <t>хвіртка металева</t>
  </si>
  <si>
    <t>ліжка для інфекційного відділення</t>
  </si>
  <si>
    <t>встановлення шлагбауму</t>
  </si>
  <si>
    <t>ширма для облаштування палатки</t>
  </si>
  <si>
    <t>матраци протипролижневі</t>
  </si>
  <si>
    <t>транспортні перевезення працівників</t>
  </si>
  <si>
    <t>розводка кисневих трубок</t>
  </si>
  <si>
    <t>душевий бокс для медичних працівників у інфекційне відділення</t>
  </si>
  <si>
    <t>рукавички та деззасоби в поліклініку (обласні депутати)</t>
  </si>
  <si>
    <t>дезінфікаційні коврики</t>
  </si>
  <si>
    <t>халати захисні</t>
  </si>
  <si>
    <t>дезінфікуючі засоби для ІРЦ</t>
  </si>
  <si>
    <t>марля, одяг захисний в т. ч. протичумний 6 комплектів</t>
  </si>
  <si>
    <t>Спорт для всіх</t>
  </si>
  <si>
    <t>інфрачервоний безконтактний термометр 2 шт</t>
  </si>
  <si>
    <t>антисептики</t>
  </si>
  <si>
    <t>паперові рушники</t>
  </si>
  <si>
    <t>Реабілітаційний центр</t>
  </si>
  <si>
    <t>паперові рушники та миючі засоби</t>
  </si>
  <si>
    <t>дезинфікуючі засоби</t>
  </si>
  <si>
    <t>ДЮСШ</t>
  </si>
  <si>
    <t>термометри безконтактні, антисептики, маски, рукавички, рушники, мило</t>
  </si>
  <si>
    <t>захисні скляні екрани</t>
  </si>
  <si>
    <t>УПСЗН</t>
  </si>
  <si>
    <t>рушники паперові та тримачі для рушників</t>
  </si>
  <si>
    <t>за утилізацію пакетів</t>
  </si>
  <si>
    <t>вироби мед. признач. (шприци, системи, марля)</t>
  </si>
  <si>
    <t>Стоматологічна поліклініка</t>
  </si>
  <si>
    <t>комплект обладнання для проведення досліджень метом ІФА</t>
  </si>
  <si>
    <t>Фінансове управління</t>
  </si>
  <si>
    <t>маски</t>
  </si>
  <si>
    <t>анисептичні засоби</t>
  </si>
  <si>
    <t>захисні щитки</t>
  </si>
  <si>
    <t>тримачі для пляшок дезінфікуючих</t>
  </si>
  <si>
    <t xml:space="preserve">дезінфікуючі засоби </t>
  </si>
  <si>
    <t>захисні окуляри</t>
  </si>
  <si>
    <t>металопластикова конструкція для комплексу ІФА в лабораторне відділення</t>
  </si>
  <si>
    <t>Начальник фінансового управління:     Писаренко Л.В.</t>
  </si>
  <si>
    <t>термометри безконтактні</t>
  </si>
  <si>
    <t>меблі в лабораторію для комплексу ІФА</t>
  </si>
  <si>
    <t>опромінювач бактерицидний для кабінету ІФА</t>
  </si>
  <si>
    <t>реактиви</t>
  </si>
  <si>
    <t>електронний безконтактний термометр</t>
  </si>
  <si>
    <t>господарські та сантехнічні товари для комплексу ІФА в лабораторне відділення</t>
  </si>
  <si>
    <t>Молодіжний центр</t>
  </si>
  <si>
    <t xml:space="preserve">інфрачервоний безконтактний термометр, антисептичні засоби </t>
  </si>
  <si>
    <t>Управління майна</t>
  </si>
  <si>
    <t>захисні щитки, маски, рукавиці</t>
  </si>
  <si>
    <t>відсмоктувач медичний</t>
  </si>
  <si>
    <t>безконтактний термометр</t>
  </si>
  <si>
    <t>маски медичні</t>
  </si>
  <si>
    <t>бойлер для ЛОР відділення</t>
  </si>
  <si>
    <t>склопакети з дверима для інфекційного відділення</t>
  </si>
  <si>
    <t xml:space="preserve">кисневі концентратори </t>
  </si>
  <si>
    <t>облаштування кабінету ІФА</t>
  </si>
  <si>
    <t>опромінювачі УФ бактерицидні (8шт.)</t>
  </si>
  <si>
    <t>пульслметри 10 шт.</t>
  </si>
  <si>
    <t>лампа люмінесцентна бактерицидна</t>
  </si>
  <si>
    <t>склопакети з дверима для дитячого (провізорного) відділення</t>
  </si>
  <si>
    <t>термометр безконтактний</t>
  </si>
  <si>
    <t>екран-маска</t>
  </si>
  <si>
    <t>Засоби індивід.захисту (халати 2100 шт, бахіли 1000 шт, шапочки 1000 шт, респіратори 500 шт,)</t>
  </si>
  <si>
    <t>опромінювачі бактерицидні пересувні (2шт.)    (3000)</t>
  </si>
  <si>
    <t xml:space="preserve">опромінювачі бактерицидні           </t>
  </si>
  <si>
    <t>сухожарова шафа (стерилізатор повітряний)   (3000)</t>
  </si>
  <si>
    <t xml:space="preserve">рентгенівський апарат палатний  (3000)  </t>
  </si>
  <si>
    <t>ліжка функціональні 6шт.   (3000)</t>
  </si>
  <si>
    <t>костюми захисні, комбінезони</t>
  </si>
  <si>
    <t>деззасоби 8110</t>
  </si>
  <si>
    <t>медикаменти 8110</t>
  </si>
  <si>
    <t>бахіли захисні</t>
  </si>
  <si>
    <t>екрани захисні (38 шт.), окуляри 8110</t>
  </si>
  <si>
    <t>рукавички 8110</t>
  </si>
  <si>
    <t>респіратори 8110</t>
  </si>
  <si>
    <t>комбінезони (300 шт.), костюми (комбінезон+окуляри) 8110</t>
  </si>
  <si>
    <t>бахіли 8110</t>
  </si>
  <si>
    <t>халати захисні 8110</t>
  </si>
  <si>
    <t>фартух, щиток 8110</t>
  </si>
  <si>
    <t>кисневі концентратори (4шт.+4шт.)           (3000)</t>
  </si>
  <si>
    <t xml:space="preserve">ШВЛ для дітей </t>
  </si>
  <si>
    <t xml:space="preserve">опромінювачі (5шт.)  </t>
  </si>
  <si>
    <t xml:space="preserve">апарат ШВЛ   </t>
  </si>
  <si>
    <t>ЗФ</t>
  </si>
  <si>
    <t>марлеві відрізи  8110</t>
  </si>
  <si>
    <t>засоби дезинфекції    8110</t>
  </si>
  <si>
    <t xml:space="preserve">засоби дезинфекції    </t>
  </si>
  <si>
    <t>опромінювачі ультрафіолетові   (3000)</t>
  </si>
  <si>
    <t>деззасоби для виборчих дільниць</t>
  </si>
  <si>
    <t>шлагбауми для 5 -ти КПП        8110</t>
  </si>
  <si>
    <t>пірометр - 5 шт. для 5-ти КПП     8110</t>
  </si>
  <si>
    <t>табурет з дерев’яним верхом - 5 шт. для 5-ти КПП  8110</t>
  </si>
  <si>
    <t>столи, палатки - 5 шт. для 5-ти КПП    8110</t>
  </si>
  <si>
    <t>деззасоби для КТВП "Школяр"        7693</t>
  </si>
  <si>
    <t>Управління культури</t>
  </si>
  <si>
    <t>деззасоби для хореографічної школи</t>
  </si>
  <si>
    <t xml:space="preserve">    * зменшення планових показників і касових видатків на 344,54 тис.грн.- планувалося як COVID, але вирішено було придбати як звичайні закупівлі (пологовий будинок). </t>
  </si>
  <si>
    <t>деззасоби для музеїв</t>
  </si>
  <si>
    <t>рукавички захисні 3000 пар</t>
  </si>
  <si>
    <t>автоклав</t>
  </si>
  <si>
    <t>перегородки в провізорні відділення</t>
  </si>
  <si>
    <t>шапочки 300 шт.</t>
  </si>
  <si>
    <t>фільтри дихальні 100 шт.</t>
  </si>
  <si>
    <t>захисні пакети</t>
  </si>
  <si>
    <t>деззасоби по будинку культури</t>
  </si>
  <si>
    <t>килимок для дезінфекції взуття для будинку культури</t>
  </si>
  <si>
    <t>бактерицидні опрмінювачі</t>
  </si>
  <si>
    <r>
      <t xml:space="preserve">Інформація щодо фінансування з місцевих бюджетів протиепідемічних заходів з метою запобігання поширенню на території області гострої респіраторної хвороби COVID-19 по Ніжинській міській об'єднаній територіальній громаді
</t>
    </r>
    <r>
      <rPr>
        <b/>
        <sz val="12"/>
        <color indexed="12"/>
        <rFont val="Times New Roman"/>
        <family val="1"/>
      </rPr>
      <t>станом на 18.11.2020 року</t>
    </r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</si>
</sst>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_ ;[Red]\-0.0\ "/>
    <numFmt numFmtId="189" formatCode="#,##0.0_ ;[Red]\-#,##0.0\ 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[$-2000]dddd\,\ d\ mmmm\ yyyy\ &quot;г&quot;\."/>
    <numFmt numFmtId="197" formatCode="mmm/yyyy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95" fontId="1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95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186" fontId="3" fillId="33" borderId="12" xfId="43" applyFont="1" applyFill="1" applyBorder="1" applyAlignment="1" applyProtection="1">
      <alignment horizontal="center" wrapText="1"/>
      <protection/>
    </xf>
    <xf numFmtId="186" fontId="3" fillId="33" borderId="13" xfId="43" applyFont="1" applyFill="1" applyBorder="1" applyAlignment="1" applyProtection="1">
      <alignment horizontal="center" wrapText="1"/>
      <protection/>
    </xf>
    <xf numFmtId="186" fontId="3" fillId="33" borderId="14" xfId="43" applyFont="1" applyFill="1" applyBorder="1" applyAlignment="1" applyProtection="1">
      <alignment horizontal="center" wrapText="1"/>
      <protection/>
    </xf>
    <xf numFmtId="186" fontId="3" fillId="33" borderId="15" xfId="43" applyFont="1" applyFill="1" applyBorder="1" applyAlignment="1" applyProtection="1">
      <alignment horizontal="center" wrapText="1"/>
      <protection/>
    </xf>
    <xf numFmtId="186" fontId="3" fillId="33" borderId="16" xfId="43" applyFont="1" applyFill="1" applyBorder="1" applyAlignment="1" applyProtection="1">
      <alignment horizontal="center" wrapText="1"/>
      <protection/>
    </xf>
    <xf numFmtId="186" fontId="3" fillId="33" borderId="17" xfId="43" applyFont="1" applyFill="1" applyBorder="1" applyAlignment="1" applyProtection="1">
      <alignment horizont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190" fontId="3" fillId="33" borderId="11" xfId="0" applyNumberFormat="1" applyFont="1" applyFill="1" applyBorder="1" applyAlignment="1" applyProtection="1">
      <alignment horizontal="center" vertical="center" shrinkToFit="1"/>
      <protection/>
    </xf>
    <xf numFmtId="186" fontId="6" fillId="33" borderId="10" xfId="43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190" fontId="3" fillId="33" borderId="19" xfId="0" applyNumberFormat="1" applyFont="1" applyFill="1" applyBorder="1" applyAlignment="1" applyProtection="1">
      <alignment horizontal="center" vertical="center" shrinkToFit="1"/>
      <protection/>
    </xf>
    <xf numFmtId="0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195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195" fontId="12" fillId="33" borderId="10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195" fontId="14" fillId="33" borderId="10" xfId="0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5" fontId="50" fillId="33" borderId="10" xfId="0" applyNumberFormat="1" applyFont="1" applyFill="1" applyBorder="1" applyAlignment="1">
      <alignment/>
    </xf>
    <xf numFmtId="195" fontId="2" fillId="33" borderId="10" xfId="0" applyNumberFormat="1" applyFont="1" applyFill="1" applyBorder="1" applyAlignment="1">
      <alignment/>
    </xf>
    <xf numFmtId="195" fontId="3" fillId="33" borderId="10" xfId="0" applyNumberFormat="1" applyFont="1" applyFill="1" applyBorder="1" applyAlignment="1">
      <alignment/>
    </xf>
    <xf numFmtId="195" fontId="13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4" fontId="13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5"/>
  <sheetViews>
    <sheetView tabSelected="1" view="pageBreakPreview" zoomScaleSheetLayoutView="100" zoomScalePageLayoutView="0" workbookViewId="0" topLeftCell="A1">
      <pane ySplit="6" topLeftCell="A151" activePane="bottomLeft" state="frozen"/>
      <selection pane="topLeft" activeCell="A1" sqref="A1"/>
      <selection pane="bottomLeft" activeCell="A176" sqref="A176:IV181"/>
    </sheetView>
  </sheetViews>
  <sheetFormatPr defaultColWidth="8.875" defaultRowHeight="12.75"/>
  <cols>
    <col min="1" max="1" width="56.75390625" style="6" customWidth="1"/>
    <col min="2" max="2" width="21.00390625" style="6" hidden="1" customWidth="1"/>
    <col min="3" max="3" width="15.875" style="6" customWidth="1"/>
    <col min="4" max="4" width="12.25390625" style="6" hidden="1" customWidth="1"/>
    <col min="5" max="5" width="10.375" style="6" hidden="1" customWidth="1"/>
    <col min="6" max="6" width="10.00390625" style="6" hidden="1" customWidth="1"/>
    <col min="7" max="7" width="9.00390625" style="6" hidden="1" customWidth="1"/>
    <col min="8" max="8" width="2.75390625" style="6" hidden="1" customWidth="1"/>
    <col min="9" max="9" width="15.25390625" style="6" customWidth="1"/>
    <col min="10" max="10" width="13.875" style="6" customWidth="1"/>
    <col min="11" max="11" width="13.625" style="6" customWidth="1"/>
    <col min="12" max="12" width="11.375" style="6" customWidth="1"/>
    <col min="13" max="13" width="9.75390625" style="6" hidden="1" customWidth="1"/>
    <col min="14" max="14" width="11.875" style="6" customWidth="1"/>
    <col min="15" max="15" width="8.875" style="6" hidden="1" customWidth="1"/>
    <col min="16" max="16384" width="8.875" style="6" customWidth="1"/>
  </cols>
  <sheetData>
    <row r="1" spans="1:14" ht="66" customHeight="1">
      <c r="A1" s="4" t="s">
        <v>158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3:14" ht="12.75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 t="s">
        <v>0</v>
      </c>
    </row>
    <row r="3" spans="1:14" ht="27.75" customHeight="1">
      <c r="A3" s="9" t="s">
        <v>8</v>
      </c>
      <c r="B3" s="10"/>
      <c r="C3" s="11" t="s">
        <v>40</v>
      </c>
      <c r="D3" s="12"/>
      <c r="E3" s="12"/>
      <c r="F3" s="12"/>
      <c r="G3" s="12"/>
      <c r="H3" s="13"/>
      <c r="I3" s="14" t="s">
        <v>41</v>
      </c>
      <c r="J3" s="15"/>
      <c r="K3" s="15"/>
      <c r="L3" s="15"/>
      <c r="M3" s="15"/>
      <c r="N3" s="16"/>
    </row>
    <row r="4" spans="1:14" ht="12.75" customHeight="1">
      <c r="A4" s="17"/>
      <c r="B4" s="18"/>
      <c r="C4" s="19" t="s">
        <v>1</v>
      </c>
      <c r="D4" s="20" t="s">
        <v>2</v>
      </c>
      <c r="E4" s="20"/>
      <c r="F4" s="20"/>
      <c r="G4" s="20"/>
      <c r="H4" s="20"/>
      <c r="I4" s="19" t="s">
        <v>1</v>
      </c>
      <c r="J4" s="20" t="s">
        <v>2</v>
      </c>
      <c r="K4" s="20"/>
      <c r="L4" s="20"/>
      <c r="M4" s="20"/>
      <c r="N4" s="20"/>
    </row>
    <row r="5" spans="1:14" ht="92.25" customHeight="1">
      <c r="A5" s="21"/>
      <c r="B5" s="22"/>
      <c r="C5" s="23"/>
      <c r="D5" s="24" t="s">
        <v>5</v>
      </c>
      <c r="E5" s="24" t="s">
        <v>3</v>
      </c>
      <c r="F5" s="24" t="s">
        <v>4</v>
      </c>
      <c r="G5" s="25" t="s">
        <v>7</v>
      </c>
      <c r="H5" s="24" t="s">
        <v>6</v>
      </c>
      <c r="I5" s="23"/>
      <c r="J5" s="24" t="s">
        <v>5</v>
      </c>
      <c r="K5" s="24" t="s">
        <v>50</v>
      </c>
      <c r="L5" s="24" t="s">
        <v>4</v>
      </c>
      <c r="M5" s="25" t="s">
        <v>7</v>
      </c>
      <c r="N5" s="24" t="s">
        <v>6</v>
      </c>
    </row>
    <row r="6" spans="1:14" ht="22.5" customHeight="1">
      <c r="A6" s="26" t="s">
        <v>32</v>
      </c>
      <c r="B6" s="27"/>
      <c r="C6" s="28">
        <f>C7+C20+C36+C104+C112+C117+C127+C144+C148+C152+C154+C156+C160+C164+C167</f>
        <v>10473.140000000001</v>
      </c>
      <c r="D6" s="28">
        <f>D7+D20+D36+D104+D113+D117+D127+D144+D148+D152+D156+D160</f>
        <v>0</v>
      </c>
      <c r="E6" s="28">
        <f>E7+E20+E36+E104+E113+E117+E127+E144+E148+E152+E156+E160</f>
        <v>0</v>
      </c>
      <c r="F6" s="28">
        <f>F7+F20+F36+F104+F113+F117+F127+F144+F148+F152+F156+F160</f>
        <v>0</v>
      </c>
      <c r="G6" s="28">
        <f>G7+G20+G36+G104+G113+G117+G127+G144+G148+G152+G156+G160</f>
        <v>0</v>
      </c>
      <c r="H6" s="28">
        <f>H7+H20+H36+H104+H113+H117+H127+H144+H148+H152+H156+H160</f>
        <v>0</v>
      </c>
      <c r="I6" s="28">
        <f>I7+I20+I36+I104+I112+I117+I127+I144+I148+I152+I154+I156+I160+I164+I167</f>
        <v>8210.994</v>
      </c>
      <c r="J6" s="28">
        <f>J7+J20+J36+J104+J112+J117+J127+J144+J148+J152+J154+J156+J160+J164+J167</f>
        <v>3156.899</v>
      </c>
      <c r="K6" s="28">
        <f>K7+K20+K36+K104+K112+K117+K127+K144+K148+K152+K154+K156+K160+K164+K167</f>
        <v>456.9</v>
      </c>
      <c r="L6" s="28">
        <f>L7+L20+L36+L104+L112+L117+L127+L144+L148+L152+L154+L156+L160+L164+L167</f>
        <v>3460.7499999999995</v>
      </c>
      <c r="M6" s="28">
        <f>M7+M20+M36+M104+M112+M117+M127+M144+M148+M152+M154+M156+M160+M164</f>
        <v>0</v>
      </c>
      <c r="N6" s="28">
        <f>N7+N20+N36+N104+N112+N117+N127+N144+N148+N152+N154+N156+N160+N164+N167</f>
        <v>1136.4450000000004</v>
      </c>
    </row>
    <row r="7" spans="1:14" ht="15.75">
      <c r="A7" s="29" t="s">
        <v>12</v>
      </c>
      <c r="B7" s="30"/>
      <c r="C7" s="3">
        <f>205+570+C12+518.1+C17+C18+C19</f>
        <v>1566.7099999999998</v>
      </c>
      <c r="D7" s="3"/>
      <c r="E7" s="3"/>
      <c r="F7" s="3"/>
      <c r="G7" s="3"/>
      <c r="H7" s="3"/>
      <c r="I7" s="3">
        <f>J7+K7+L7+N7</f>
        <v>1484.578</v>
      </c>
      <c r="J7" s="3">
        <f>J8+J9+J10+J11+J12+J13+J14+J15+J16+J18+J17+J19</f>
        <v>1020.2639999999999</v>
      </c>
      <c r="K7" s="3">
        <f>K8+K9+K10+K11+K12+K13+K14+K15+K16+K18+K17+K19</f>
        <v>0</v>
      </c>
      <c r="L7" s="3">
        <f>L8+L9+L10+L11+L12+L13+L14+L15+L16+L18+L17+L19</f>
        <v>107.9</v>
      </c>
      <c r="M7" s="3">
        <f>M8+M9+M10+M11+M12+M13+M14+M15+M16+M18+M17+M19</f>
        <v>0</v>
      </c>
      <c r="N7" s="3">
        <f>N8+N9+N10+N11+N12+N13+N14+N15+N16+N18+N17+N19</f>
        <v>356.41400000000004</v>
      </c>
    </row>
    <row r="8" spans="1:14" ht="15.75">
      <c r="A8" s="27" t="s">
        <v>9</v>
      </c>
      <c r="B8" s="2"/>
      <c r="C8" s="1"/>
      <c r="D8" s="1"/>
      <c r="E8" s="1"/>
      <c r="F8" s="1"/>
      <c r="G8" s="1"/>
      <c r="H8" s="1"/>
      <c r="I8" s="1">
        <f aca="true" t="shared" si="0" ref="I8:I121">J8+K8+L8+N8</f>
        <v>433.564</v>
      </c>
      <c r="J8" s="1">
        <f>26.6+9+394.4+0.6+2.964</f>
        <v>433.564</v>
      </c>
      <c r="K8" s="1"/>
      <c r="L8" s="1"/>
      <c r="M8" s="1"/>
      <c r="N8" s="1"/>
    </row>
    <row r="9" spans="1:14" ht="15.75">
      <c r="A9" s="31" t="s">
        <v>10</v>
      </c>
      <c r="B9" s="32"/>
      <c r="C9" s="33"/>
      <c r="D9" s="1"/>
      <c r="E9" s="1"/>
      <c r="F9" s="1"/>
      <c r="G9" s="1"/>
      <c r="H9" s="1"/>
      <c r="I9" s="1">
        <f t="shared" si="0"/>
        <v>40</v>
      </c>
      <c r="J9" s="1">
        <v>40</v>
      </c>
      <c r="K9" s="1"/>
      <c r="L9" s="1"/>
      <c r="M9" s="1"/>
      <c r="N9" s="1"/>
    </row>
    <row r="10" spans="1:14" ht="15.75">
      <c r="A10" s="31" t="s">
        <v>11</v>
      </c>
      <c r="B10" s="32"/>
      <c r="C10" s="33"/>
      <c r="D10" s="1"/>
      <c r="E10" s="1"/>
      <c r="F10" s="1"/>
      <c r="G10" s="1"/>
      <c r="H10" s="1"/>
      <c r="I10" s="1">
        <f t="shared" si="0"/>
        <v>45.6</v>
      </c>
      <c r="J10" s="1">
        <v>45.6</v>
      </c>
      <c r="K10" s="1"/>
      <c r="L10" s="1"/>
      <c r="M10" s="1"/>
      <c r="N10" s="1"/>
    </row>
    <row r="11" spans="1:14" ht="15.75">
      <c r="A11" s="31" t="s">
        <v>19</v>
      </c>
      <c r="B11" s="32"/>
      <c r="C11" s="33"/>
      <c r="D11" s="1"/>
      <c r="E11" s="1"/>
      <c r="F11" s="1"/>
      <c r="G11" s="1"/>
      <c r="H11" s="1"/>
      <c r="I11" s="1">
        <f t="shared" si="0"/>
        <v>189.40000000000003</v>
      </c>
      <c r="J11" s="1"/>
      <c r="K11" s="1"/>
      <c r="L11" s="1"/>
      <c r="M11" s="1"/>
      <c r="N11" s="1">
        <f>135.4+44.6+5.8+1.4+0.8+1.4</f>
        <v>189.40000000000003</v>
      </c>
    </row>
    <row r="12" spans="1:14" ht="15.75">
      <c r="A12" s="31" t="s">
        <v>61</v>
      </c>
      <c r="B12" s="32"/>
      <c r="C12" s="33">
        <f>48.3+21.5+1.45</f>
        <v>71.25</v>
      </c>
      <c r="D12" s="1"/>
      <c r="E12" s="1"/>
      <c r="F12" s="1"/>
      <c r="G12" s="1"/>
      <c r="H12" s="1"/>
      <c r="I12" s="1">
        <f t="shared" si="0"/>
        <v>71.25</v>
      </c>
      <c r="J12" s="1"/>
      <c r="K12" s="1"/>
      <c r="L12" s="1"/>
      <c r="M12" s="1"/>
      <c r="N12" s="1">
        <f>48.3+21.5+1.45</f>
        <v>71.25</v>
      </c>
    </row>
    <row r="13" spans="1:14" ht="15.75">
      <c r="A13" s="31" t="s">
        <v>63</v>
      </c>
      <c r="B13" s="32"/>
      <c r="C13" s="33">
        <v>2.3</v>
      </c>
      <c r="D13" s="1"/>
      <c r="E13" s="1"/>
      <c r="F13" s="1"/>
      <c r="G13" s="1"/>
      <c r="H13" s="1"/>
      <c r="I13" s="1">
        <f t="shared" si="0"/>
        <v>2.3</v>
      </c>
      <c r="J13" s="1">
        <v>2.3</v>
      </c>
      <c r="K13" s="1"/>
      <c r="L13" s="1"/>
      <c r="M13" s="1"/>
      <c r="N13" s="1"/>
    </row>
    <row r="14" spans="1:14" ht="15.75">
      <c r="A14" s="31" t="s">
        <v>85</v>
      </c>
      <c r="B14" s="32"/>
      <c r="C14" s="33">
        <f>0.5</f>
        <v>0.5</v>
      </c>
      <c r="D14" s="1"/>
      <c r="E14" s="1"/>
      <c r="F14" s="1"/>
      <c r="G14" s="1"/>
      <c r="H14" s="1"/>
      <c r="I14" s="1">
        <f t="shared" si="0"/>
        <v>0.6</v>
      </c>
      <c r="J14" s="1"/>
      <c r="K14" s="1"/>
      <c r="L14" s="1"/>
      <c r="M14" s="1"/>
      <c r="N14" s="1">
        <f>0.5+0.1</f>
        <v>0.6</v>
      </c>
    </row>
    <row r="15" spans="1:14" ht="15.75">
      <c r="A15" s="31" t="s">
        <v>86</v>
      </c>
      <c r="B15" s="32"/>
      <c r="C15" s="33"/>
      <c r="D15" s="1"/>
      <c r="E15" s="1"/>
      <c r="F15" s="1"/>
      <c r="G15" s="1"/>
      <c r="H15" s="1"/>
      <c r="I15" s="1">
        <f t="shared" si="0"/>
        <v>460.99999999999994</v>
      </c>
      <c r="J15" s="1">
        <f>389.6+11.7+1.5+2.9+2.7+3.8+0.9+47.9</f>
        <v>460.99999999999994</v>
      </c>
      <c r="K15" s="1"/>
      <c r="L15" s="1"/>
      <c r="M15" s="1"/>
      <c r="N15" s="1"/>
    </row>
    <row r="16" spans="1:14" ht="15.75">
      <c r="A16" s="31" t="s">
        <v>109</v>
      </c>
      <c r="B16" s="32"/>
      <c r="C16" s="33"/>
      <c r="D16" s="1"/>
      <c r="E16" s="1"/>
      <c r="F16" s="1"/>
      <c r="G16" s="1"/>
      <c r="H16" s="1"/>
      <c r="I16" s="1">
        <f t="shared" si="0"/>
        <v>0.664</v>
      </c>
      <c r="J16" s="1"/>
      <c r="K16" s="1"/>
      <c r="L16" s="1"/>
      <c r="M16" s="1"/>
      <c r="N16" s="1">
        <f>0.664</f>
        <v>0.664</v>
      </c>
    </row>
    <row r="17" spans="1:14" ht="15.75">
      <c r="A17" s="31" t="s">
        <v>68</v>
      </c>
      <c r="B17" s="32"/>
      <c r="C17" s="33">
        <v>94.5</v>
      </c>
      <c r="D17" s="1"/>
      <c r="E17" s="1"/>
      <c r="F17" s="1"/>
      <c r="G17" s="1"/>
      <c r="H17" s="1"/>
      <c r="I17" s="1">
        <f t="shared" si="0"/>
        <v>94.5</v>
      </c>
      <c r="J17" s="1"/>
      <c r="K17" s="1"/>
      <c r="L17" s="1"/>
      <c r="M17" s="1"/>
      <c r="N17" s="1">
        <v>94.5</v>
      </c>
    </row>
    <row r="18" spans="1:14" ht="15.75">
      <c r="A18" s="31" t="s">
        <v>112</v>
      </c>
      <c r="B18" s="32"/>
      <c r="C18" s="33"/>
      <c r="D18" s="1"/>
      <c r="E18" s="1"/>
      <c r="F18" s="1"/>
      <c r="G18" s="1"/>
      <c r="H18" s="1"/>
      <c r="I18" s="1">
        <f t="shared" si="0"/>
        <v>37.8</v>
      </c>
      <c r="J18" s="1">
        <f>32.2+0.3+1.9+3.4</f>
        <v>37.8</v>
      </c>
      <c r="K18" s="1"/>
      <c r="L18" s="1"/>
      <c r="M18" s="1"/>
      <c r="N18" s="1"/>
    </row>
    <row r="19" spans="1:14" ht="15.75">
      <c r="A19" s="31" t="s">
        <v>157</v>
      </c>
      <c r="B19" s="32"/>
      <c r="C19" s="33">
        <f>106+1.86</f>
        <v>107.86</v>
      </c>
      <c r="D19" s="1"/>
      <c r="E19" s="1"/>
      <c r="F19" s="1"/>
      <c r="G19" s="1"/>
      <c r="H19" s="1"/>
      <c r="I19" s="1">
        <f t="shared" si="0"/>
        <v>107.9</v>
      </c>
      <c r="J19" s="1"/>
      <c r="K19" s="1"/>
      <c r="L19" s="1">
        <f>107.9</f>
        <v>107.9</v>
      </c>
      <c r="M19" s="1"/>
      <c r="N19" s="1"/>
    </row>
    <row r="20" spans="1:14" s="37" customFormat="1" ht="15.75">
      <c r="A20" s="34" t="s">
        <v>13</v>
      </c>
      <c r="B20" s="35"/>
      <c r="C20" s="36">
        <f>430.2+15.9+C31+C32+C33</f>
        <v>594.0999999999999</v>
      </c>
      <c r="D20" s="3"/>
      <c r="E20" s="3"/>
      <c r="F20" s="3"/>
      <c r="G20" s="3"/>
      <c r="H20" s="3"/>
      <c r="I20" s="3">
        <f t="shared" si="0"/>
        <v>608.3</v>
      </c>
      <c r="J20" s="3">
        <f>SUM(J21:J35)</f>
        <v>350.2</v>
      </c>
      <c r="K20" s="3">
        <f>SUM(K21:K35)</f>
        <v>0</v>
      </c>
      <c r="L20" s="3">
        <f>SUM(L21:L35)</f>
        <v>226.8</v>
      </c>
      <c r="M20" s="3">
        <f>SUM(M21:M35)</f>
        <v>0</v>
      </c>
      <c r="N20" s="3">
        <f>SUM(N21:N35)</f>
        <v>31.299999999999997</v>
      </c>
    </row>
    <row r="21" spans="1:14" ht="15.75">
      <c r="A21" s="38" t="s">
        <v>14</v>
      </c>
      <c r="B21" s="2"/>
      <c r="C21" s="1"/>
      <c r="D21" s="1"/>
      <c r="E21" s="1"/>
      <c r="F21" s="1"/>
      <c r="G21" s="1"/>
      <c r="H21" s="1"/>
      <c r="I21" s="1">
        <f t="shared" si="0"/>
        <v>9.8</v>
      </c>
      <c r="J21" s="1">
        <f>9.8</f>
        <v>9.8</v>
      </c>
      <c r="K21" s="1"/>
      <c r="L21" s="1"/>
      <c r="M21" s="1"/>
      <c r="N21" s="1"/>
    </row>
    <row r="22" spans="1:14" ht="15.75">
      <c r="A22" s="38" t="s">
        <v>9</v>
      </c>
      <c r="B22" s="2"/>
      <c r="C22" s="1"/>
      <c r="D22" s="1"/>
      <c r="E22" s="1"/>
      <c r="F22" s="1"/>
      <c r="G22" s="1"/>
      <c r="H22" s="1"/>
      <c r="I22" s="1">
        <f t="shared" si="0"/>
        <v>126.7</v>
      </c>
      <c r="J22" s="1">
        <f>16.8+5.2+64.5+1+39.2</f>
        <v>126.7</v>
      </c>
      <c r="K22" s="1"/>
      <c r="L22" s="1"/>
      <c r="M22" s="1"/>
      <c r="N22" s="1"/>
    </row>
    <row r="23" spans="1:14" ht="17.25" customHeight="1">
      <c r="A23" s="38" t="s">
        <v>64</v>
      </c>
      <c r="B23" s="2"/>
      <c r="C23" s="1"/>
      <c r="D23" s="1"/>
      <c r="E23" s="1"/>
      <c r="F23" s="1"/>
      <c r="G23" s="1"/>
      <c r="H23" s="1"/>
      <c r="I23" s="1">
        <f t="shared" si="0"/>
        <v>70.6</v>
      </c>
      <c r="J23" s="1">
        <v>70.6</v>
      </c>
      <c r="K23" s="1"/>
      <c r="L23" s="1"/>
      <c r="M23" s="1"/>
      <c r="N23" s="1"/>
    </row>
    <row r="24" spans="1:14" ht="15.75" customHeight="1">
      <c r="A24" s="38" t="s">
        <v>15</v>
      </c>
      <c r="B24" s="2"/>
      <c r="C24" s="1"/>
      <c r="D24" s="1"/>
      <c r="E24" s="1"/>
      <c r="F24" s="1"/>
      <c r="G24" s="1"/>
      <c r="H24" s="1"/>
      <c r="I24" s="1">
        <f t="shared" si="0"/>
        <v>110.6</v>
      </c>
      <c r="J24" s="1">
        <f>20.3+21+69.3</f>
        <v>110.6</v>
      </c>
      <c r="K24" s="1"/>
      <c r="L24" s="1"/>
      <c r="M24" s="1"/>
      <c r="N24" s="1"/>
    </row>
    <row r="25" spans="1:14" ht="15.75">
      <c r="A25" s="38" t="s">
        <v>16</v>
      </c>
      <c r="B25" s="2"/>
      <c r="C25" s="1"/>
      <c r="D25" s="1"/>
      <c r="E25" s="1"/>
      <c r="F25" s="1"/>
      <c r="G25" s="1"/>
      <c r="H25" s="1"/>
      <c r="I25" s="1">
        <f t="shared" si="0"/>
        <v>1.4</v>
      </c>
      <c r="J25" s="1">
        <v>1.4</v>
      </c>
      <c r="K25" s="1"/>
      <c r="L25" s="1"/>
      <c r="M25" s="1"/>
      <c r="N25" s="1"/>
    </row>
    <row r="26" spans="1:14" ht="15.75">
      <c r="A26" s="38" t="s">
        <v>114</v>
      </c>
      <c r="B26" s="2"/>
      <c r="C26" s="1">
        <v>15.9</v>
      </c>
      <c r="D26" s="1"/>
      <c r="E26" s="1"/>
      <c r="F26" s="1"/>
      <c r="G26" s="1"/>
      <c r="H26" s="1"/>
      <c r="I26" s="1">
        <f t="shared" si="0"/>
        <v>15.9</v>
      </c>
      <c r="J26" s="1"/>
      <c r="K26" s="1"/>
      <c r="L26" s="1">
        <v>15.9</v>
      </c>
      <c r="M26" s="1"/>
      <c r="N26" s="1"/>
    </row>
    <row r="27" spans="1:14" ht="15.75">
      <c r="A27" s="38" t="s">
        <v>115</v>
      </c>
      <c r="B27" s="2"/>
      <c r="C27" s="1"/>
      <c r="D27" s="1"/>
      <c r="E27" s="1"/>
      <c r="F27" s="1"/>
      <c r="G27" s="1"/>
      <c r="H27" s="1"/>
      <c r="I27" s="1">
        <f>J27+K27+L27+N27</f>
        <v>62.9</v>
      </c>
      <c r="J27" s="1"/>
      <c r="K27" s="1"/>
      <c r="L27" s="1">
        <f>62.9</f>
        <v>62.9</v>
      </c>
      <c r="M27" s="1"/>
      <c r="N27" s="1"/>
    </row>
    <row r="28" spans="1:14" ht="15.75">
      <c r="A28" s="38" t="s">
        <v>18</v>
      </c>
      <c r="B28" s="2"/>
      <c r="C28" s="1"/>
      <c r="D28" s="1"/>
      <c r="E28" s="1"/>
      <c r="F28" s="1"/>
      <c r="G28" s="1"/>
      <c r="H28" s="1"/>
      <c r="I28" s="1">
        <f t="shared" si="0"/>
        <v>18.7</v>
      </c>
      <c r="J28" s="1"/>
      <c r="K28" s="1"/>
      <c r="L28" s="1"/>
      <c r="M28" s="1"/>
      <c r="N28" s="1">
        <v>18.7</v>
      </c>
    </row>
    <row r="29" spans="1:14" ht="15.75">
      <c r="A29" s="38" t="s">
        <v>19</v>
      </c>
      <c r="B29" s="2"/>
      <c r="C29" s="1"/>
      <c r="D29" s="1"/>
      <c r="E29" s="1"/>
      <c r="F29" s="1"/>
      <c r="G29" s="1"/>
      <c r="H29" s="1"/>
      <c r="I29" s="1">
        <f t="shared" si="0"/>
        <v>10</v>
      </c>
      <c r="J29" s="1">
        <v>10</v>
      </c>
      <c r="K29" s="1"/>
      <c r="L29" s="1"/>
      <c r="M29" s="1"/>
      <c r="N29" s="1"/>
    </row>
    <row r="30" spans="1:14" ht="15.75">
      <c r="A30" s="38" t="s">
        <v>10</v>
      </c>
      <c r="B30" s="2"/>
      <c r="C30" s="1"/>
      <c r="D30" s="1"/>
      <c r="E30" s="1"/>
      <c r="F30" s="1"/>
      <c r="G30" s="1"/>
      <c r="H30" s="1"/>
      <c r="I30" s="1">
        <f t="shared" si="0"/>
        <v>16.1</v>
      </c>
      <c r="J30" s="1">
        <v>16.1</v>
      </c>
      <c r="K30" s="1"/>
      <c r="L30" s="1"/>
      <c r="M30" s="1"/>
      <c r="N30" s="1"/>
    </row>
    <row r="31" spans="1:14" ht="15.75">
      <c r="A31" s="38" t="s">
        <v>116</v>
      </c>
      <c r="B31" s="2"/>
      <c r="C31" s="1">
        <v>15.7</v>
      </c>
      <c r="D31" s="1"/>
      <c r="E31" s="1"/>
      <c r="F31" s="1"/>
      <c r="G31" s="1"/>
      <c r="H31" s="1"/>
      <c r="I31" s="1">
        <f t="shared" si="0"/>
        <v>15.7</v>
      </c>
      <c r="J31" s="1"/>
      <c r="K31" s="1"/>
      <c r="L31" s="1">
        <v>15.7</v>
      </c>
      <c r="M31" s="1"/>
      <c r="N31" s="1"/>
    </row>
    <row r="32" spans="1:14" ht="15.75">
      <c r="A32" s="38" t="s">
        <v>117</v>
      </c>
      <c r="B32" s="2"/>
      <c r="C32" s="1">
        <f>344.54-344.54</f>
        <v>0</v>
      </c>
      <c r="D32" s="1"/>
      <c r="E32" s="1"/>
      <c r="F32" s="1"/>
      <c r="G32" s="1"/>
      <c r="H32" s="1"/>
      <c r="I32" s="1">
        <f t="shared" si="0"/>
        <v>0</v>
      </c>
      <c r="J32" s="1"/>
      <c r="K32" s="1"/>
      <c r="L32" s="1">
        <f>344.54-344.54</f>
        <v>0</v>
      </c>
      <c r="M32" s="1"/>
      <c r="N32" s="1"/>
    </row>
    <row r="33" spans="1:14" ht="15.75">
      <c r="A33" s="38" t="s">
        <v>118</v>
      </c>
      <c r="B33" s="2"/>
      <c r="C33" s="1">
        <v>132.3</v>
      </c>
      <c r="D33" s="1"/>
      <c r="E33" s="1"/>
      <c r="F33" s="1"/>
      <c r="G33" s="1"/>
      <c r="H33" s="1"/>
      <c r="I33" s="1">
        <f t="shared" si="0"/>
        <v>132.3</v>
      </c>
      <c r="J33" s="1"/>
      <c r="K33" s="1"/>
      <c r="L33" s="1">
        <v>132.3</v>
      </c>
      <c r="M33" s="1"/>
      <c r="N33" s="1"/>
    </row>
    <row r="34" spans="1:14" ht="15.75">
      <c r="A34" s="38" t="s">
        <v>48</v>
      </c>
      <c r="B34" s="2"/>
      <c r="C34" s="1"/>
      <c r="D34" s="1"/>
      <c r="E34" s="1"/>
      <c r="F34" s="1"/>
      <c r="G34" s="1"/>
      <c r="H34" s="1"/>
      <c r="I34" s="1">
        <f t="shared" si="0"/>
        <v>5</v>
      </c>
      <c r="J34" s="1">
        <v>5</v>
      </c>
      <c r="K34" s="1"/>
      <c r="L34" s="1"/>
      <c r="M34" s="1"/>
      <c r="N34" s="1"/>
    </row>
    <row r="35" spans="1:14" ht="15.75">
      <c r="A35" s="38" t="s">
        <v>49</v>
      </c>
      <c r="B35" s="2"/>
      <c r="C35" s="1"/>
      <c r="D35" s="1"/>
      <c r="E35" s="1"/>
      <c r="F35" s="1"/>
      <c r="G35" s="1"/>
      <c r="H35" s="1"/>
      <c r="I35" s="1">
        <f t="shared" si="0"/>
        <v>12.6</v>
      </c>
      <c r="J35" s="1"/>
      <c r="K35" s="1"/>
      <c r="L35" s="1"/>
      <c r="M35" s="1"/>
      <c r="N35" s="1">
        <f>8.1+0.9+3.6</f>
        <v>12.6</v>
      </c>
    </row>
    <row r="36" spans="1:14" ht="15.75">
      <c r="A36" s="29" t="s">
        <v>20</v>
      </c>
      <c r="B36" s="30"/>
      <c r="C36" s="3">
        <f>120+2153.7-150+1004.4+430+C59+C60+C61+C62+C63+C64+C65+C66+C67+C68+C69+C70+C71+C72+C73+C77+85.4-85.4-118.6-534.2-600-325.91+450+63.5-63.5+700+500</f>
        <v>7344.29</v>
      </c>
      <c r="D36" s="3"/>
      <c r="E36" s="3"/>
      <c r="F36" s="3"/>
      <c r="G36" s="3"/>
      <c r="H36" s="3"/>
      <c r="I36" s="3">
        <f aca="true" t="shared" si="1" ref="I36:N36">SUM(I37:I103)</f>
        <v>5409.986</v>
      </c>
      <c r="J36" s="3">
        <f t="shared" si="1"/>
        <v>1619.25</v>
      </c>
      <c r="K36" s="3">
        <f t="shared" si="1"/>
        <v>123.1</v>
      </c>
      <c r="L36" s="3">
        <f t="shared" si="1"/>
        <v>3030.45</v>
      </c>
      <c r="M36" s="3">
        <f t="shared" si="1"/>
        <v>0</v>
      </c>
      <c r="N36" s="3">
        <f t="shared" si="1"/>
        <v>637.186</v>
      </c>
    </row>
    <row r="37" spans="1:14" ht="15.75">
      <c r="A37" s="38" t="s">
        <v>119</v>
      </c>
      <c r="B37" s="2"/>
      <c r="C37" s="1"/>
      <c r="D37" s="1"/>
      <c r="E37" s="1"/>
      <c r="F37" s="1"/>
      <c r="G37" s="1"/>
      <c r="H37" s="1"/>
      <c r="I37" s="1">
        <f t="shared" si="0"/>
        <v>492.95</v>
      </c>
      <c r="J37" s="1">
        <f>17+8.7+32.2+110+30+75.05+220</f>
        <v>492.95</v>
      </c>
      <c r="K37" s="1"/>
      <c r="L37" s="1"/>
      <c r="M37" s="1"/>
      <c r="N37" s="1"/>
    </row>
    <row r="38" spans="1:14" ht="15.75">
      <c r="A38" s="38" t="s">
        <v>62</v>
      </c>
      <c r="B38" s="2"/>
      <c r="C38" s="1"/>
      <c r="D38" s="1"/>
      <c r="E38" s="1"/>
      <c r="F38" s="1"/>
      <c r="G38" s="1"/>
      <c r="H38" s="1"/>
      <c r="I38" s="39">
        <f t="shared" si="0"/>
        <v>26</v>
      </c>
      <c r="J38" s="39">
        <f>26</f>
        <v>26</v>
      </c>
      <c r="K38" s="1"/>
      <c r="L38" s="1"/>
      <c r="M38" s="1"/>
      <c r="N38" s="1"/>
    </row>
    <row r="39" spans="1:14" ht="15.75">
      <c r="A39" s="38" t="s">
        <v>21</v>
      </c>
      <c r="B39" s="2"/>
      <c r="C39" s="1"/>
      <c r="D39" s="1"/>
      <c r="E39" s="1"/>
      <c r="F39" s="1"/>
      <c r="G39" s="1"/>
      <c r="H39" s="1"/>
      <c r="I39" s="1">
        <f t="shared" si="0"/>
        <v>24.700000000000003</v>
      </c>
      <c r="J39" s="1"/>
      <c r="K39" s="1"/>
      <c r="L39" s="1">
        <f>14.8+9.9</f>
        <v>24.700000000000003</v>
      </c>
      <c r="M39" s="1"/>
      <c r="N39" s="1"/>
    </row>
    <row r="40" spans="1:14" ht="15.75">
      <c r="A40" s="38" t="s">
        <v>9</v>
      </c>
      <c r="B40" s="2"/>
      <c r="C40" s="1"/>
      <c r="D40" s="1"/>
      <c r="E40" s="1"/>
      <c r="F40" s="1"/>
      <c r="G40" s="1"/>
      <c r="H40" s="1"/>
      <c r="I40" s="1">
        <f t="shared" si="0"/>
        <v>149.9</v>
      </c>
      <c r="J40" s="1">
        <f>149.9</f>
        <v>149.9</v>
      </c>
      <c r="K40" s="1"/>
      <c r="L40" s="1"/>
      <c r="M40" s="1"/>
      <c r="N40" s="1"/>
    </row>
    <row r="41" spans="1:14" ht="15.75">
      <c r="A41" s="38" t="s">
        <v>120</v>
      </c>
      <c r="B41" s="2"/>
      <c r="C41" s="1"/>
      <c r="D41" s="1"/>
      <c r="E41" s="1"/>
      <c r="F41" s="1"/>
      <c r="G41" s="1"/>
      <c r="H41" s="1"/>
      <c r="I41" s="1">
        <f t="shared" si="0"/>
        <v>41.1</v>
      </c>
      <c r="J41" s="1">
        <v>41.1</v>
      </c>
      <c r="K41" s="1"/>
      <c r="L41" s="1"/>
      <c r="M41" s="1"/>
      <c r="N41" s="1"/>
    </row>
    <row r="42" spans="1:14" ht="15.75">
      <c r="A42" s="38" t="s">
        <v>58</v>
      </c>
      <c r="B42" s="2"/>
      <c r="C42" s="1"/>
      <c r="D42" s="1"/>
      <c r="E42" s="1"/>
      <c r="F42" s="1"/>
      <c r="G42" s="1"/>
      <c r="H42" s="1"/>
      <c r="I42" s="1">
        <f t="shared" si="0"/>
        <v>20.6</v>
      </c>
      <c r="J42" s="1">
        <f>20.6</f>
        <v>20.6</v>
      </c>
      <c r="K42" s="1"/>
      <c r="L42" s="1"/>
      <c r="M42" s="1"/>
      <c r="N42" s="1"/>
    </row>
    <row r="43" spans="1:14" ht="30" customHeight="1">
      <c r="A43" s="38" t="s">
        <v>22</v>
      </c>
      <c r="B43" s="2"/>
      <c r="C43" s="1"/>
      <c r="D43" s="1"/>
      <c r="E43" s="1"/>
      <c r="F43" s="1"/>
      <c r="G43" s="1"/>
      <c r="H43" s="1"/>
      <c r="I43" s="1">
        <f t="shared" si="0"/>
        <v>16.4</v>
      </c>
      <c r="J43" s="1"/>
      <c r="K43" s="1"/>
      <c r="L43" s="1"/>
      <c r="M43" s="1"/>
      <c r="N43" s="1">
        <f>16.4</f>
        <v>16.4</v>
      </c>
    </row>
    <row r="44" spans="1:14" ht="15.75">
      <c r="A44" s="38" t="s">
        <v>10</v>
      </c>
      <c r="B44" s="2"/>
      <c r="C44" s="1"/>
      <c r="D44" s="1"/>
      <c r="E44" s="1"/>
      <c r="F44" s="1"/>
      <c r="G44" s="1"/>
      <c r="H44" s="1"/>
      <c r="I44" s="1">
        <f t="shared" si="0"/>
        <v>103.8</v>
      </c>
      <c r="J44" s="1">
        <f>68.8+0.4+12.6+10.7+0.3+8.4+2.6</f>
        <v>103.8</v>
      </c>
      <c r="K44" s="1"/>
      <c r="L44" s="1"/>
      <c r="M44" s="1"/>
      <c r="N44" s="1"/>
    </row>
    <row r="45" spans="1:14" ht="15.75">
      <c r="A45" s="38" t="s">
        <v>121</v>
      </c>
      <c r="B45" s="2"/>
      <c r="C45" s="1"/>
      <c r="D45" s="1"/>
      <c r="E45" s="1"/>
      <c r="F45" s="1"/>
      <c r="G45" s="1"/>
      <c r="H45" s="1"/>
      <c r="I45" s="1">
        <f t="shared" si="0"/>
        <v>17.8</v>
      </c>
      <c r="J45" s="1">
        <v>17.8</v>
      </c>
      <c r="K45" s="1"/>
      <c r="L45" s="1"/>
      <c r="M45" s="1"/>
      <c r="N45" s="1"/>
    </row>
    <row r="46" spans="1:14" ht="15.75">
      <c r="A46" s="38" t="s">
        <v>43</v>
      </c>
      <c r="B46" s="2"/>
      <c r="C46" s="1"/>
      <c r="D46" s="1"/>
      <c r="E46" s="1"/>
      <c r="F46" s="1"/>
      <c r="G46" s="1"/>
      <c r="H46" s="1"/>
      <c r="I46" s="1">
        <f t="shared" si="0"/>
        <v>123.1</v>
      </c>
      <c r="J46" s="1"/>
      <c r="K46" s="1">
        <v>123.1</v>
      </c>
      <c r="L46" s="1"/>
      <c r="M46" s="1"/>
      <c r="N46" s="1"/>
    </row>
    <row r="47" spans="1:14" ht="15.75">
      <c r="A47" s="38" t="s">
        <v>23</v>
      </c>
      <c r="B47" s="2"/>
      <c r="C47" s="1"/>
      <c r="D47" s="1"/>
      <c r="E47" s="1"/>
      <c r="F47" s="1"/>
      <c r="G47" s="1"/>
      <c r="H47" s="1"/>
      <c r="I47" s="1">
        <f t="shared" si="0"/>
        <v>1.1</v>
      </c>
      <c r="J47" s="1"/>
      <c r="K47" s="1"/>
      <c r="L47" s="1"/>
      <c r="M47" s="1"/>
      <c r="N47" s="1">
        <v>1.1</v>
      </c>
    </row>
    <row r="48" spans="1:14" ht="15.75">
      <c r="A48" s="38" t="s">
        <v>24</v>
      </c>
      <c r="B48" s="2"/>
      <c r="C48" s="1"/>
      <c r="D48" s="1"/>
      <c r="E48" s="1"/>
      <c r="F48" s="1"/>
      <c r="G48" s="1"/>
      <c r="H48" s="1"/>
      <c r="I48" s="1">
        <f t="shared" si="0"/>
        <v>8.1</v>
      </c>
      <c r="J48" s="1"/>
      <c r="K48" s="1"/>
      <c r="L48" s="1"/>
      <c r="M48" s="1"/>
      <c r="N48" s="1">
        <v>8.1</v>
      </c>
    </row>
    <row r="49" spans="1:14" ht="15.75">
      <c r="A49" s="38"/>
      <c r="B49" s="2"/>
      <c r="C49" s="1"/>
      <c r="D49" s="1"/>
      <c r="E49" s="1"/>
      <c r="F49" s="1"/>
      <c r="G49" s="1"/>
      <c r="H49" s="1"/>
      <c r="I49" s="1">
        <f>J49+K49+L49+N49</f>
        <v>0</v>
      </c>
      <c r="J49" s="1"/>
      <c r="K49" s="1"/>
      <c r="L49" s="1"/>
      <c r="M49" s="1"/>
      <c r="N49" s="1"/>
    </row>
    <row r="50" spans="1:14" ht="18" customHeight="1">
      <c r="A50" s="38" t="s">
        <v>123</v>
      </c>
      <c r="B50" s="2"/>
      <c r="C50" s="1"/>
      <c r="D50" s="1"/>
      <c r="E50" s="1"/>
      <c r="F50" s="1"/>
      <c r="G50" s="1"/>
      <c r="H50" s="1"/>
      <c r="I50" s="1">
        <f t="shared" si="0"/>
        <v>13.299999999999999</v>
      </c>
      <c r="J50" s="1">
        <f>9.9+2.8+0.6</f>
        <v>13.299999999999999</v>
      </c>
      <c r="K50" s="1"/>
      <c r="L50" s="1"/>
      <c r="M50" s="1"/>
      <c r="N50" s="1"/>
    </row>
    <row r="51" spans="1:14" ht="15.75" customHeight="1">
      <c r="A51" s="38" t="s">
        <v>124</v>
      </c>
      <c r="B51" s="2"/>
      <c r="C51" s="1"/>
      <c r="D51" s="1"/>
      <c r="E51" s="1"/>
      <c r="F51" s="1"/>
      <c r="G51" s="1"/>
      <c r="H51" s="1"/>
      <c r="I51" s="1">
        <f t="shared" si="0"/>
        <v>83</v>
      </c>
      <c r="J51" s="1">
        <v>83</v>
      </c>
      <c r="K51" s="1"/>
      <c r="L51" s="1"/>
      <c r="M51" s="1"/>
      <c r="N51" s="1"/>
    </row>
    <row r="52" spans="1:14" ht="15.75" customHeight="1">
      <c r="A52" s="38" t="s">
        <v>29</v>
      </c>
      <c r="B52" s="2"/>
      <c r="C52" s="1"/>
      <c r="D52" s="1"/>
      <c r="E52" s="1"/>
      <c r="F52" s="1"/>
      <c r="G52" s="1"/>
      <c r="H52" s="1"/>
      <c r="I52" s="1">
        <f t="shared" si="0"/>
        <v>55.5</v>
      </c>
      <c r="J52" s="1">
        <f>37+18.5</f>
        <v>55.5</v>
      </c>
      <c r="K52" s="1"/>
      <c r="L52" s="1"/>
      <c r="M52" s="1"/>
      <c r="N52" s="1"/>
    </row>
    <row r="53" spans="1:14" ht="15.75">
      <c r="A53" s="38" t="s">
        <v>125</v>
      </c>
      <c r="B53" s="2"/>
      <c r="C53" s="1"/>
      <c r="D53" s="1"/>
      <c r="E53" s="1"/>
      <c r="F53" s="1"/>
      <c r="G53" s="1"/>
      <c r="H53" s="1"/>
      <c r="I53" s="1">
        <f t="shared" si="0"/>
        <v>155.3</v>
      </c>
      <c r="J53" s="1">
        <f>114.4+34.5+6.4</f>
        <v>155.3</v>
      </c>
      <c r="K53" s="1"/>
      <c r="L53" s="1"/>
      <c r="M53" s="1"/>
      <c r="N53" s="1"/>
    </row>
    <row r="54" spans="1:14" ht="30" customHeight="1">
      <c r="A54" s="38" t="s">
        <v>126</v>
      </c>
      <c r="B54" s="2"/>
      <c r="C54" s="1"/>
      <c r="D54" s="1"/>
      <c r="E54" s="1"/>
      <c r="F54" s="1"/>
      <c r="G54" s="1"/>
      <c r="H54" s="1"/>
      <c r="I54" s="1">
        <f t="shared" si="0"/>
        <v>98.3</v>
      </c>
      <c r="J54" s="1">
        <f>86+12.3</f>
        <v>98.3</v>
      </c>
      <c r="K54" s="1"/>
      <c r="L54" s="1"/>
      <c r="M54" s="1"/>
      <c r="N54" s="1"/>
    </row>
    <row r="55" spans="1:14" ht="15.75">
      <c r="A55" s="38" t="s">
        <v>122</v>
      </c>
      <c r="B55" s="2"/>
      <c r="C55" s="1"/>
      <c r="D55" s="1"/>
      <c r="E55" s="1"/>
      <c r="F55" s="1"/>
      <c r="G55" s="1"/>
      <c r="H55" s="1"/>
      <c r="I55" s="1">
        <f t="shared" si="0"/>
        <v>69.9</v>
      </c>
      <c r="J55" s="1">
        <f>14+5.4+12.5+10+28</f>
        <v>69.9</v>
      </c>
      <c r="K55" s="1"/>
      <c r="L55" s="1"/>
      <c r="M55" s="1"/>
      <c r="N55" s="1"/>
    </row>
    <row r="56" spans="1:14" ht="15.75">
      <c r="A56" s="38" t="s">
        <v>127</v>
      </c>
      <c r="B56" s="2"/>
      <c r="C56" s="1"/>
      <c r="D56" s="1"/>
      <c r="E56" s="1"/>
      <c r="F56" s="1"/>
      <c r="G56" s="1"/>
      <c r="H56" s="1"/>
      <c r="I56" s="1">
        <f>J56+K56+L56+N56</f>
        <v>8.7</v>
      </c>
      <c r="J56" s="1">
        <f>2.3+6.4</f>
        <v>8.7</v>
      </c>
      <c r="K56" s="1"/>
      <c r="L56" s="1"/>
      <c r="M56" s="1"/>
      <c r="N56" s="1"/>
    </row>
    <row r="57" spans="1:14" ht="15.75">
      <c r="A57" s="38" t="s">
        <v>128</v>
      </c>
      <c r="B57" s="2"/>
      <c r="C57" s="1"/>
      <c r="D57" s="1"/>
      <c r="E57" s="1"/>
      <c r="F57" s="1"/>
      <c r="G57" s="1"/>
      <c r="H57" s="1"/>
      <c r="I57" s="1">
        <f>J57+K57+L57+N57</f>
        <v>8.7</v>
      </c>
      <c r="J57" s="1">
        <f>2.7+6</f>
        <v>8.7</v>
      </c>
      <c r="K57" s="1"/>
      <c r="L57" s="1"/>
      <c r="M57" s="1"/>
      <c r="N57" s="1"/>
    </row>
    <row r="58" spans="1:14" ht="15.75">
      <c r="A58" s="38" t="s">
        <v>129</v>
      </c>
      <c r="B58" s="2"/>
      <c r="C58" s="1"/>
      <c r="D58" s="1"/>
      <c r="E58" s="1"/>
      <c r="F58" s="1"/>
      <c r="G58" s="1"/>
      <c r="H58" s="1"/>
      <c r="I58" s="1">
        <f>J58+K58+L58+N58</f>
        <v>2.1</v>
      </c>
      <c r="J58" s="1">
        <f>0.8+1.3</f>
        <v>2.1</v>
      </c>
      <c r="K58" s="1"/>
      <c r="L58" s="1"/>
      <c r="M58" s="1"/>
      <c r="N58" s="1"/>
    </row>
    <row r="59" spans="1:14" ht="18.75" customHeight="1">
      <c r="A59" s="38" t="s">
        <v>130</v>
      </c>
      <c r="B59" s="2"/>
      <c r="C59" s="1">
        <v>320</v>
      </c>
      <c r="D59" s="1"/>
      <c r="E59" s="1"/>
      <c r="F59" s="1"/>
      <c r="G59" s="1"/>
      <c r="H59" s="1"/>
      <c r="I59" s="1">
        <f t="shared" si="0"/>
        <v>320</v>
      </c>
      <c r="J59" s="1"/>
      <c r="K59" s="1"/>
      <c r="L59" s="1">
        <v>320</v>
      </c>
      <c r="M59" s="1"/>
      <c r="N59" s="1"/>
    </row>
    <row r="60" spans="1:14" ht="15.75">
      <c r="A60" s="38" t="s">
        <v>131</v>
      </c>
      <c r="B60" s="2"/>
      <c r="C60" s="1">
        <f>450-130</f>
        <v>320</v>
      </c>
      <c r="D60" s="1"/>
      <c r="E60" s="1"/>
      <c r="F60" s="1"/>
      <c r="G60" s="1"/>
      <c r="H60" s="1"/>
      <c r="I60" s="1">
        <f t="shared" si="0"/>
        <v>320</v>
      </c>
      <c r="J60" s="1"/>
      <c r="K60" s="1"/>
      <c r="L60" s="1">
        <v>320</v>
      </c>
      <c r="M60" s="1"/>
      <c r="N60" s="1"/>
    </row>
    <row r="61" spans="1:14" ht="15.75">
      <c r="A61" s="38" t="s">
        <v>132</v>
      </c>
      <c r="B61" s="2"/>
      <c r="C61" s="1">
        <f>35-4.6</f>
        <v>30.4</v>
      </c>
      <c r="D61" s="1"/>
      <c r="E61" s="1"/>
      <c r="F61" s="1"/>
      <c r="G61" s="1"/>
      <c r="H61" s="1"/>
      <c r="I61" s="1">
        <f t="shared" si="0"/>
        <v>30.4</v>
      </c>
      <c r="J61" s="1"/>
      <c r="K61" s="1"/>
      <c r="L61" s="1">
        <f>30.4</f>
        <v>30.4</v>
      </c>
      <c r="M61" s="1"/>
      <c r="N61" s="1"/>
    </row>
    <row r="62" spans="1:14" ht="15.75">
      <c r="A62" s="38" t="s">
        <v>133</v>
      </c>
      <c r="B62" s="2"/>
      <c r="C62" s="1">
        <v>320</v>
      </c>
      <c r="D62" s="1"/>
      <c r="E62" s="1"/>
      <c r="F62" s="1"/>
      <c r="G62" s="1"/>
      <c r="H62" s="1"/>
      <c r="I62" s="1">
        <f t="shared" si="0"/>
        <v>319.7</v>
      </c>
      <c r="J62" s="1"/>
      <c r="K62" s="1"/>
      <c r="L62" s="1">
        <v>319.7</v>
      </c>
      <c r="M62" s="1"/>
      <c r="N62" s="1"/>
    </row>
    <row r="63" spans="1:14" ht="15.75">
      <c r="A63" s="38" t="s">
        <v>33</v>
      </c>
      <c r="B63" s="2"/>
      <c r="C63" s="1">
        <v>40</v>
      </c>
      <c r="D63" s="1"/>
      <c r="E63" s="1"/>
      <c r="F63" s="1"/>
      <c r="G63" s="1"/>
      <c r="H63" s="1"/>
      <c r="I63" s="1">
        <f t="shared" si="0"/>
        <v>40</v>
      </c>
      <c r="J63" s="1"/>
      <c r="K63" s="1"/>
      <c r="L63" s="1">
        <v>40</v>
      </c>
      <c r="M63" s="1"/>
      <c r="N63" s="1"/>
    </row>
    <row r="64" spans="1:14" ht="15.75">
      <c r="A64" s="38" t="s">
        <v>34</v>
      </c>
      <c r="B64" s="2"/>
      <c r="C64" s="1">
        <v>260</v>
      </c>
      <c r="D64" s="1"/>
      <c r="E64" s="1"/>
      <c r="F64" s="1"/>
      <c r="G64" s="1"/>
      <c r="H64" s="1"/>
      <c r="I64" s="1">
        <f t="shared" si="0"/>
        <v>260</v>
      </c>
      <c r="J64" s="1"/>
      <c r="K64" s="1"/>
      <c r="L64" s="1">
        <v>260</v>
      </c>
      <c r="M64" s="1"/>
      <c r="N64" s="1"/>
    </row>
    <row r="65" spans="1:14" ht="15.75">
      <c r="A65" s="38" t="s">
        <v>35</v>
      </c>
      <c r="B65" s="2"/>
      <c r="C65" s="1">
        <v>30</v>
      </c>
      <c r="D65" s="1"/>
      <c r="E65" s="1"/>
      <c r="F65" s="1"/>
      <c r="G65" s="1"/>
      <c r="H65" s="1"/>
      <c r="I65" s="1">
        <f t="shared" si="0"/>
        <v>30</v>
      </c>
      <c r="J65" s="1"/>
      <c r="K65" s="1"/>
      <c r="L65" s="1">
        <v>30</v>
      </c>
      <c r="M65" s="1"/>
      <c r="N65" s="1"/>
    </row>
    <row r="66" spans="1:14" ht="15.75">
      <c r="A66" s="38" t="s">
        <v>46</v>
      </c>
      <c r="B66" s="2"/>
      <c r="C66" s="1">
        <v>13.9</v>
      </c>
      <c r="D66" s="1"/>
      <c r="E66" s="1"/>
      <c r="F66" s="1"/>
      <c r="G66" s="1"/>
      <c r="H66" s="1"/>
      <c r="I66" s="1">
        <f t="shared" si="0"/>
        <v>13.9</v>
      </c>
      <c r="J66" s="1"/>
      <c r="K66" s="1"/>
      <c r="L66" s="1"/>
      <c r="M66" s="1"/>
      <c r="N66" s="1">
        <v>13.9</v>
      </c>
    </row>
    <row r="67" spans="1:14" ht="15.75">
      <c r="A67" s="38" t="s">
        <v>36</v>
      </c>
      <c r="B67" s="2"/>
      <c r="C67" s="1">
        <v>14</v>
      </c>
      <c r="D67" s="1"/>
      <c r="E67" s="1"/>
      <c r="F67" s="1"/>
      <c r="G67" s="1"/>
      <c r="H67" s="1"/>
      <c r="I67" s="1">
        <f t="shared" si="0"/>
        <v>14</v>
      </c>
      <c r="J67" s="1"/>
      <c r="K67" s="1"/>
      <c r="L67" s="1"/>
      <c r="M67" s="1"/>
      <c r="N67" s="1">
        <v>14</v>
      </c>
    </row>
    <row r="68" spans="1:14" ht="15.75">
      <c r="A68" s="38" t="s">
        <v>37</v>
      </c>
      <c r="B68" s="2"/>
      <c r="C68" s="1">
        <v>150</v>
      </c>
      <c r="D68" s="1"/>
      <c r="E68" s="1"/>
      <c r="F68" s="1"/>
      <c r="G68" s="1"/>
      <c r="H68" s="1"/>
      <c r="I68" s="1">
        <f t="shared" si="0"/>
        <v>150</v>
      </c>
      <c r="J68" s="1"/>
      <c r="K68" s="1"/>
      <c r="L68" s="1">
        <v>150</v>
      </c>
      <c r="M68" s="1"/>
      <c r="N68" s="1"/>
    </row>
    <row r="69" spans="1:14" ht="15.75">
      <c r="A69" s="38" t="s">
        <v>51</v>
      </c>
      <c r="B69" s="2"/>
      <c r="C69" s="1">
        <f>198.7-0.7</f>
        <v>198</v>
      </c>
      <c r="D69" s="1"/>
      <c r="E69" s="1"/>
      <c r="F69" s="1"/>
      <c r="G69" s="1"/>
      <c r="H69" s="1"/>
      <c r="I69" s="1">
        <f>J69+K69+L69+N69</f>
        <v>198</v>
      </c>
      <c r="J69" s="1"/>
      <c r="K69" s="1"/>
      <c r="L69" s="1">
        <v>198</v>
      </c>
      <c r="M69" s="1"/>
      <c r="N69" s="1"/>
    </row>
    <row r="70" spans="1:14" ht="31.5">
      <c r="A70" s="38" t="s">
        <v>80</v>
      </c>
      <c r="B70" s="2"/>
      <c r="C70" s="1">
        <v>500</v>
      </c>
      <c r="D70" s="1"/>
      <c r="E70" s="1"/>
      <c r="F70" s="1"/>
      <c r="G70" s="1"/>
      <c r="H70" s="1"/>
      <c r="I70" s="1">
        <f>J70+K70+L70+N70</f>
        <v>498.8</v>
      </c>
      <c r="J70" s="1"/>
      <c r="K70" s="1"/>
      <c r="L70" s="1">
        <v>498.8</v>
      </c>
      <c r="M70" s="1"/>
      <c r="N70" s="1"/>
    </row>
    <row r="71" spans="1:14" ht="15.75">
      <c r="A71" s="38" t="s">
        <v>106</v>
      </c>
      <c r="B71" s="2"/>
      <c r="C71" s="1">
        <v>45</v>
      </c>
      <c r="D71" s="1"/>
      <c r="E71" s="1"/>
      <c r="F71" s="1"/>
      <c r="G71" s="1"/>
      <c r="H71" s="1"/>
      <c r="I71" s="1">
        <f>J71+K71+L71+N71</f>
        <v>24.89</v>
      </c>
      <c r="J71" s="1"/>
      <c r="K71" s="1"/>
      <c r="L71" s="1">
        <v>9.6</v>
      </c>
      <c r="M71" s="1"/>
      <c r="N71" s="1">
        <v>15.29</v>
      </c>
    </row>
    <row r="72" spans="1:14" ht="15.75">
      <c r="A72" s="38" t="s">
        <v>105</v>
      </c>
      <c r="B72" s="2"/>
      <c r="C72" s="1">
        <f>405+400+450</f>
        <v>1255</v>
      </c>
      <c r="D72" s="1"/>
      <c r="E72" s="1"/>
      <c r="F72" s="1"/>
      <c r="G72" s="1"/>
      <c r="H72" s="1"/>
      <c r="I72" s="1">
        <f>J72+K72+L72+N72</f>
        <v>805</v>
      </c>
      <c r="J72" s="1"/>
      <c r="K72" s="1"/>
      <c r="L72" s="1">
        <f>405+120+280</f>
        <v>805</v>
      </c>
      <c r="M72" s="1"/>
      <c r="N72" s="1"/>
    </row>
    <row r="73" spans="1:14" ht="15.75">
      <c r="A73" s="27" t="s">
        <v>150</v>
      </c>
      <c r="B73" s="2"/>
      <c r="C73" s="1">
        <v>200</v>
      </c>
      <c r="D73" s="1"/>
      <c r="E73" s="1"/>
      <c r="F73" s="1"/>
      <c r="G73" s="1"/>
      <c r="H73" s="1"/>
      <c r="I73" s="1">
        <f t="shared" si="0"/>
        <v>0</v>
      </c>
      <c r="J73" s="1"/>
      <c r="K73" s="1"/>
      <c r="L73" s="1">
        <v>0</v>
      </c>
      <c r="M73" s="1"/>
      <c r="N73" s="1"/>
    </row>
    <row r="74" spans="1:14" ht="15.75">
      <c r="A74" s="27" t="s">
        <v>44</v>
      </c>
      <c r="B74" s="2"/>
      <c r="C74" s="1"/>
      <c r="D74" s="1"/>
      <c r="E74" s="1"/>
      <c r="F74" s="1"/>
      <c r="G74" s="1"/>
      <c r="H74" s="1"/>
      <c r="I74" s="1">
        <f t="shared" si="0"/>
        <v>28.1</v>
      </c>
      <c r="J74" s="1">
        <f>9.1+19</f>
        <v>28.1</v>
      </c>
      <c r="K74" s="1"/>
      <c r="L74" s="1"/>
      <c r="M74" s="1"/>
      <c r="N74" s="1"/>
    </row>
    <row r="75" spans="1:14" ht="15.75">
      <c r="A75" s="27" t="s">
        <v>45</v>
      </c>
      <c r="B75" s="2"/>
      <c r="C75" s="1"/>
      <c r="D75" s="1"/>
      <c r="E75" s="1"/>
      <c r="F75" s="1"/>
      <c r="G75" s="1"/>
      <c r="H75" s="1"/>
      <c r="I75" s="1">
        <f t="shared" si="0"/>
        <v>32.3</v>
      </c>
      <c r="J75" s="1">
        <f>19.2+13.1</f>
        <v>32.3</v>
      </c>
      <c r="K75" s="1"/>
      <c r="L75" s="1"/>
      <c r="M75" s="1"/>
      <c r="N75" s="1"/>
    </row>
    <row r="76" spans="1:14" ht="15.75">
      <c r="A76" s="27" t="s">
        <v>47</v>
      </c>
      <c r="B76" s="2"/>
      <c r="C76" s="1"/>
      <c r="D76" s="1"/>
      <c r="E76" s="1"/>
      <c r="F76" s="1"/>
      <c r="G76" s="1"/>
      <c r="H76" s="1"/>
      <c r="I76" s="1">
        <f t="shared" si="0"/>
        <v>2.5</v>
      </c>
      <c r="J76" s="1">
        <v>2.5</v>
      </c>
      <c r="K76" s="1"/>
      <c r="L76" s="1"/>
      <c r="M76" s="1"/>
      <c r="N76" s="1"/>
    </row>
    <row r="77" spans="1:14" ht="15.75">
      <c r="A77" s="38" t="s">
        <v>17</v>
      </c>
      <c r="B77" s="2"/>
      <c r="C77" s="1">
        <v>18.6</v>
      </c>
      <c r="D77" s="1"/>
      <c r="E77" s="1"/>
      <c r="F77" s="1"/>
      <c r="G77" s="1"/>
      <c r="H77" s="1"/>
      <c r="I77" s="1">
        <f t="shared" si="0"/>
        <v>18.55</v>
      </c>
      <c r="J77" s="1"/>
      <c r="K77" s="1"/>
      <c r="L77" s="1">
        <f>6.9+6+5.65</f>
        <v>18.55</v>
      </c>
      <c r="M77" s="1"/>
      <c r="N77" s="1"/>
    </row>
    <row r="78" spans="1:14" ht="15.75">
      <c r="A78" s="38" t="s">
        <v>57</v>
      </c>
      <c r="B78" s="2"/>
      <c r="C78" s="1"/>
      <c r="D78" s="1"/>
      <c r="E78" s="1"/>
      <c r="F78" s="1"/>
      <c r="G78" s="1"/>
      <c r="H78" s="1"/>
      <c r="I78" s="1">
        <f t="shared" si="0"/>
        <v>286.35</v>
      </c>
      <c r="J78" s="1"/>
      <c r="K78" s="1"/>
      <c r="L78" s="1"/>
      <c r="M78" s="1"/>
      <c r="N78" s="1">
        <f>20.55+172.2+58.8+34.8</f>
        <v>286.35</v>
      </c>
    </row>
    <row r="79" spans="1:14" ht="15.75">
      <c r="A79" s="38" t="s">
        <v>52</v>
      </c>
      <c r="B79" s="2"/>
      <c r="C79" s="1"/>
      <c r="D79" s="1"/>
      <c r="E79" s="1"/>
      <c r="F79" s="1"/>
      <c r="G79" s="1"/>
      <c r="H79" s="1"/>
      <c r="I79" s="1">
        <f t="shared" si="0"/>
        <v>7.8</v>
      </c>
      <c r="J79" s="1"/>
      <c r="K79" s="1"/>
      <c r="L79" s="1"/>
      <c r="M79" s="1"/>
      <c r="N79" s="1">
        <v>7.8</v>
      </c>
    </row>
    <row r="80" spans="1:14" ht="30" customHeight="1">
      <c r="A80" s="38" t="s">
        <v>59</v>
      </c>
      <c r="B80" s="2"/>
      <c r="C80" s="1"/>
      <c r="D80" s="1"/>
      <c r="E80" s="1"/>
      <c r="F80" s="1"/>
      <c r="G80" s="1"/>
      <c r="H80" s="1"/>
      <c r="I80" s="1">
        <f t="shared" si="0"/>
        <v>7.4</v>
      </c>
      <c r="J80" s="1"/>
      <c r="K80" s="1"/>
      <c r="L80" s="1"/>
      <c r="M80" s="1"/>
      <c r="N80" s="1">
        <v>7.4</v>
      </c>
    </row>
    <row r="81" spans="1:14" ht="15.75">
      <c r="A81" s="38" t="s">
        <v>53</v>
      </c>
      <c r="B81" s="2"/>
      <c r="C81" s="1"/>
      <c r="D81" s="1"/>
      <c r="E81" s="1"/>
      <c r="F81" s="1"/>
      <c r="G81" s="1"/>
      <c r="H81" s="1"/>
      <c r="I81" s="1">
        <f t="shared" si="0"/>
        <v>73.1</v>
      </c>
      <c r="J81" s="1"/>
      <c r="K81" s="1"/>
      <c r="L81" s="1"/>
      <c r="M81" s="1"/>
      <c r="N81" s="1">
        <v>73.1</v>
      </c>
    </row>
    <row r="82" spans="1:14" ht="15.75">
      <c r="A82" s="38" t="s">
        <v>54</v>
      </c>
      <c r="B82" s="2"/>
      <c r="C82" s="1"/>
      <c r="D82" s="1"/>
      <c r="E82" s="1"/>
      <c r="F82" s="1"/>
      <c r="G82" s="1"/>
      <c r="H82" s="1"/>
      <c r="I82" s="1">
        <f t="shared" si="0"/>
        <v>22.8</v>
      </c>
      <c r="J82" s="1"/>
      <c r="K82" s="1"/>
      <c r="L82" s="1"/>
      <c r="M82" s="1"/>
      <c r="N82" s="1">
        <v>22.8</v>
      </c>
    </row>
    <row r="83" spans="1:14" ht="15.75">
      <c r="A83" s="38" t="s">
        <v>55</v>
      </c>
      <c r="B83" s="2"/>
      <c r="C83" s="1"/>
      <c r="D83" s="1"/>
      <c r="E83" s="1"/>
      <c r="F83" s="1"/>
      <c r="G83" s="1"/>
      <c r="H83" s="1"/>
      <c r="I83" s="1">
        <f t="shared" si="0"/>
        <v>3.9</v>
      </c>
      <c r="J83" s="1"/>
      <c r="K83" s="1"/>
      <c r="L83" s="1"/>
      <c r="M83" s="1"/>
      <c r="N83" s="1">
        <v>3.9</v>
      </c>
    </row>
    <row r="84" spans="1:14" ht="15.75">
      <c r="A84" s="38" t="s">
        <v>56</v>
      </c>
      <c r="B84" s="2"/>
      <c r="C84" s="1"/>
      <c r="D84" s="1"/>
      <c r="E84" s="1"/>
      <c r="F84" s="1"/>
      <c r="G84" s="1"/>
      <c r="H84" s="1"/>
      <c r="I84" s="1">
        <f t="shared" si="0"/>
        <v>14.76</v>
      </c>
      <c r="J84" s="1"/>
      <c r="K84" s="1"/>
      <c r="L84" s="1"/>
      <c r="M84" s="1"/>
      <c r="N84" s="1">
        <v>14.76</v>
      </c>
    </row>
    <row r="85" spans="1:14" ht="22.5" customHeight="1">
      <c r="A85" s="38" t="s">
        <v>60</v>
      </c>
      <c r="B85" s="2"/>
      <c r="C85" s="1"/>
      <c r="D85" s="1"/>
      <c r="E85" s="1"/>
      <c r="F85" s="1"/>
      <c r="G85" s="1"/>
      <c r="H85" s="1"/>
      <c r="I85" s="1">
        <f t="shared" si="0"/>
        <v>5</v>
      </c>
      <c r="J85" s="1">
        <v>5</v>
      </c>
      <c r="K85" s="1"/>
      <c r="L85" s="1"/>
      <c r="M85" s="1"/>
      <c r="N85" s="1"/>
    </row>
    <row r="86" spans="1:14" ht="17.25" customHeight="1">
      <c r="A86" s="38" t="s">
        <v>77</v>
      </c>
      <c r="B86" s="2"/>
      <c r="C86" s="1"/>
      <c r="D86" s="1"/>
      <c r="E86" s="1"/>
      <c r="F86" s="1"/>
      <c r="G86" s="1"/>
      <c r="H86" s="1"/>
      <c r="I86" s="1">
        <f t="shared" si="0"/>
        <v>2.4000000000000004</v>
      </c>
      <c r="J86" s="1"/>
      <c r="K86" s="1"/>
      <c r="L86" s="1"/>
      <c r="M86" s="1"/>
      <c r="N86" s="1">
        <f>0.2+2.2</f>
        <v>2.4000000000000004</v>
      </c>
    </row>
    <row r="87" spans="1:14" ht="18" customHeight="1">
      <c r="A87" s="38" t="s">
        <v>78</v>
      </c>
      <c r="B87" s="2"/>
      <c r="C87" s="1"/>
      <c r="D87" s="1"/>
      <c r="E87" s="1"/>
      <c r="F87" s="1"/>
      <c r="G87" s="1"/>
      <c r="H87" s="1"/>
      <c r="I87" s="1">
        <f t="shared" si="0"/>
        <v>14.9</v>
      </c>
      <c r="J87" s="1"/>
      <c r="K87" s="1"/>
      <c r="L87" s="1"/>
      <c r="M87" s="1"/>
      <c r="N87" s="1">
        <f>6+6.6+1+1.3</f>
        <v>14.9</v>
      </c>
    </row>
    <row r="88" spans="1:14" ht="30" customHeight="1">
      <c r="A88" s="38" t="s">
        <v>88</v>
      </c>
      <c r="B88" s="2"/>
      <c r="C88" s="1"/>
      <c r="D88" s="1"/>
      <c r="E88" s="1"/>
      <c r="F88" s="1"/>
      <c r="G88" s="1"/>
      <c r="H88" s="1"/>
      <c r="I88" s="1">
        <f t="shared" si="0"/>
        <v>5.99</v>
      </c>
      <c r="J88" s="1"/>
      <c r="K88" s="1"/>
      <c r="L88" s="1"/>
      <c r="M88" s="1"/>
      <c r="N88" s="1">
        <v>5.99</v>
      </c>
    </row>
    <row r="89" spans="1:14" ht="18" customHeight="1">
      <c r="A89" s="38" t="s">
        <v>91</v>
      </c>
      <c r="B89" s="2"/>
      <c r="C89" s="1"/>
      <c r="D89" s="1"/>
      <c r="E89" s="1"/>
      <c r="F89" s="1"/>
      <c r="G89" s="1"/>
      <c r="H89" s="1"/>
      <c r="I89" s="1">
        <f t="shared" si="0"/>
        <v>6.4</v>
      </c>
      <c r="J89" s="1"/>
      <c r="K89" s="1"/>
      <c r="L89" s="1"/>
      <c r="M89" s="1"/>
      <c r="N89" s="1">
        <v>6.4</v>
      </c>
    </row>
    <row r="90" spans="1:14" ht="19.5" customHeight="1">
      <c r="A90" s="38" t="s">
        <v>92</v>
      </c>
      <c r="B90" s="2"/>
      <c r="C90" s="1"/>
      <c r="D90" s="1"/>
      <c r="E90" s="1"/>
      <c r="F90" s="1"/>
      <c r="G90" s="1"/>
      <c r="H90" s="1"/>
      <c r="I90" s="1">
        <f t="shared" si="0"/>
        <v>5.7</v>
      </c>
      <c r="J90" s="1"/>
      <c r="K90" s="1"/>
      <c r="L90" s="1">
        <v>5.7</v>
      </c>
      <c r="M90" s="1"/>
      <c r="N90" s="1"/>
    </row>
    <row r="91" spans="1:14" ht="30" customHeight="1">
      <c r="A91" s="38" t="s">
        <v>95</v>
      </c>
      <c r="B91" s="2"/>
      <c r="C91" s="1"/>
      <c r="D91" s="1"/>
      <c r="E91" s="1"/>
      <c r="F91" s="1"/>
      <c r="G91" s="1"/>
      <c r="H91" s="1"/>
      <c r="I91" s="1">
        <f t="shared" si="0"/>
        <v>6.257</v>
      </c>
      <c r="J91" s="1"/>
      <c r="K91" s="1"/>
      <c r="L91" s="1"/>
      <c r="M91" s="1"/>
      <c r="N91" s="1">
        <v>6.257</v>
      </c>
    </row>
    <row r="92" spans="1:14" ht="18" customHeight="1">
      <c r="A92" s="38" t="s">
        <v>93</v>
      </c>
      <c r="B92" s="2"/>
      <c r="C92" s="1"/>
      <c r="D92" s="1"/>
      <c r="E92" s="1"/>
      <c r="F92" s="1"/>
      <c r="G92" s="1"/>
      <c r="H92" s="1"/>
      <c r="I92" s="1">
        <f t="shared" si="0"/>
        <v>3.6</v>
      </c>
      <c r="J92" s="1"/>
      <c r="K92" s="1"/>
      <c r="L92" s="1"/>
      <c r="M92" s="1"/>
      <c r="N92" s="1">
        <v>3.6</v>
      </c>
    </row>
    <row r="93" spans="1:14" ht="18" customHeight="1">
      <c r="A93" s="38" t="s">
        <v>100</v>
      </c>
      <c r="B93" s="2"/>
      <c r="C93" s="1"/>
      <c r="D93" s="1"/>
      <c r="E93" s="1"/>
      <c r="F93" s="1"/>
      <c r="G93" s="1"/>
      <c r="H93" s="1"/>
      <c r="I93" s="1">
        <f t="shared" si="0"/>
        <v>5.6</v>
      </c>
      <c r="J93" s="1"/>
      <c r="K93" s="1"/>
      <c r="L93" s="1"/>
      <c r="M93" s="1"/>
      <c r="N93" s="1">
        <v>5.6</v>
      </c>
    </row>
    <row r="94" spans="1:14" ht="18" customHeight="1">
      <c r="A94" s="38" t="s">
        <v>103</v>
      </c>
      <c r="B94" s="2"/>
      <c r="C94" s="1"/>
      <c r="D94" s="1"/>
      <c r="E94" s="1"/>
      <c r="F94" s="1"/>
      <c r="G94" s="1"/>
      <c r="H94" s="1"/>
      <c r="I94" s="1">
        <f t="shared" si="0"/>
        <v>2.2</v>
      </c>
      <c r="J94" s="1"/>
      <c r="K94" s="1"/>
      <c r="L94" s="1"/>
      <c r="M94" s="1"/>
      <c r="N94" s="1">
        <v>2.2</v>
      </c>
    </row>
    <row r="95" spans="1:14" ht="18" customHeight="1">
      <c r="A95" s="38" t="s">
        <v>104</v>
      </c>
      <c r="B95" s="2"/>
      <c r="C95" s="1"/>
      <c r="D95" s="1"/>
      <c r="E95" s="1"/>
      <c r="F95" s="1"/>
      <c r="G95" s="1"/>
      <c r="H95" s="1"/>
      <c r="I95" s="1">
        <f t="shared" si="0"/>
        <v>26.3</v>
      </c>
      <c r="J95" s="1"/>
      <c r="K95" s="1"/>
      <c r="L95" s="1"/>
      <c r="M95" s="1"/>
      <c r="N95" s="1">
        <v>26.3</v>
      </c>
    </row>
    <row r="96" spans="1:14" ht="18" customHeight="1">
      <c r="A96" s="38" t="s">
        <v>108</v>
      </c>
      <c r="B96" s="2"/>
      <c r="C96" s="1"/>
      <c r="D96" s="1"/>
      <c r="E96" s="1"/>
      <c r="F96" s="1"/>
      <c r="G96" s="1"/>
      <c r="H96" s="1"/>
      <c r="I96" s="1">
        <f t="shared" si="0"/>
        <v>8.85</v>
      </c>
      <c r="J96" s="1"/>
      <c r="K96" s="1"/>
      <c r="L96" s="1"/>
      <c r="M96" s="1"/>
      <c r="N96" s="1">
        <v>8.85</v>
      </c>
    </row>
    <row r="97" spans="1:14" ht="28.5" customHeight="1">
      <c r="A97" s="38" t="s">
        <v>110</v>
      </c>
      <c r="B97" s="2"/>
      <c r="C97" s="1"/>
      <c r="D97" s="1"/>
      <c r="E97" s="1"/>
      <c r="F97" s="1"/>
      <c r="G97" s="1"/>
      <c r="H97" s="1"/>
      <c r="I97" s="1">
        <f t="shared" si="0"/>
        <v>15.7</v>
      </c>
      <c r="J97" s="1"/>
      <c r="K97" s="1"/>
      <c r="L97" s="1"/>
      <c r="M97" s="1"/>
      <c r="N97" s="1">
        <v>15.7</v>
      </c>
    </row>
    <row r="98" spans="1:14" ht="35.25" customHeight="1">
      <c r="A98" s="38" t="s">
        <v>113</v>
      </c>
      <c r="B98" s="2"/>
      <c r="C98" s="1"/>
      <c r="D98" s="1"/>
      <c r="E98" s="1"/>
      <c r="F98" s="1"/>
      <c r="G98" s="1"/>
      <c r="H98" s="1"/>
      <c r="I98" s="1">
        <f t="shared" si="0"/>
        <v>188.2</v>
      </c>
      <c r="J98" s="1">
        <v>188.2</v>
      </c>
      <c r="K98" s="1"/>
      <c r="L98" s="1"/>
      <c r="M98" s="1"/>
      <c r="N98" s="1"/>
    </row>
    <row r="99" spans="1:14" ht="21.75" customHeight="1">
      <c r="A99" s="38" t="s">
        <v>149</v>
      </c>
      <c r="B99" s="2"/>
      <c r="C99" s="1"/>
      <c r="D99" s="1"/>
      <c r="E99" s="1"/>
      <c r="F99" s="1"/>
      <c r="G99" s="1"/>
      <c r="H99" s="1"/>
      <c r="I99" s="1">
        <f t="shared" si="0"/>
        <v>15.75</v>
      </c>
      <c r="J99" s="1">
        <v>15.75</v>
      </c>
      <c r="K99" s="1"/>
      <c r="L99" s="1"/>
      <c r="M99" s="1"/>
      <c r="N99" s="1"/>
    </row>
    <row r="100" spans="1:14" ht="21.75" customHeight="1">
      <c r="A100" s="38" t="s">
        <v>151</v>
      </c>
      <c r="B100" s="2"/>
      <c r="C100" s="1"/>
      <c r="D100" s="1"/>
      <c r="E100" s="1"/>
      <c r="F100" s="1"/>
      <c r="G100" s="1"/>
      <c r="H100" s="1"/>
      <c r="I100" s="1">
        <f t="shared" si="0"/>
        <v>44.224000000000004</v>
      </c>
      <c r="J100" s="1"/>
      <c r="K100" s="1"/>
      <c r="L100" s="1"/>
      <c r="M100" s="1"/>
      <c r="N100" s="1">
        <f>25.055+19.169</f>
        <v>44.224000000000004</v>
      </c>
    </row>
    <row r="101" spans="1:14" ht="21.75" customHeight="1">
      <c r="A101" s="38" t="s">
        <v>152</v>
      </c>
      <c r="B101" s="2"/>
      <c r="C101" s="1"/>
      <c r="D101" s="1"/>
      <c r="E101" s="1"/>
      <c r="F101" s="1"/>
      <c r="G101" s="1"/>
      <c r="H101" s="1"/>
      <c r="I101" s="1">
        <f t="shared" si="0"/>
        <v>0.45</v>
      </c>
      <c r="J101" s="1">
        <v>0.45</v>
      </c>
      <c r="K101" s="1"/>
      <c r="L101" s="1"/>
      <c r="M101" s="1"/>
      <c r="N101" s="1"/>
    </row>
    <row r="102" spans="1:14" ht="21.75" customHeight="1">
      <c r="A102" s="38" t="s">
        <v>153</v>
      </c>
      <c r="B102" s="2"/>
      <c r="C102" s="1"/>
      <c r="D102" s="1"/>
      <c r="E102" s="1"/>
      <c r="F102" s="1"/>
      <c r="G102" s="1"/>
      <c r="H102" s="1"/>
      <c r="I102" s="1">
        <f t="shared" si="0"/>
        <v>9.665</v>
      </c>
      <c r="J102" s="1"/>
      <c r="K102" s="1"/>
      <c r="L102" s="1"/>
      <c r="M102" s="1"/>
      <c r="N102" s="1">
        <v>9.665</v>
      </c>
    </row>
    <row r="103" spans="1:14" ht="21.75" customHeight="1">
      <c r="A103" s="38" t="s">
        <v>154</v>
      </c>
      <c r="B103" s="2"/>
      <c r="C103" s="1"/>
      <c r="D103" s="1"/>
      <c r="E103" s="1"/>
      <c r="F103" s="1"/>
      <c r="G103" s="1"/>
      <c r="H103" s="1"/>
      <c r="I103" s="1">
        <f t="shared" si="0"/>
        <v>0.2</v>
      </c>
      <c r="J103" s="1"/>
      <c r="K103" s="1"/>
      <c r="L103" s="1"/>
      <c r="M103" s="1"/>
      <c r="N103" s="1">
        <v>0.2</v>
      </c>
    </row>
    <row r="104" spans="1:14" ht="15.75">
      <c r="A104" s="29" t="s">
        <v>79</v>
      </c>
      <c r="B104" s="2"/>
      <c r="C104" s="3">
        <f>60+39.5+8.6+C111</f>
        <v>156.1</v>
      </c>
      <c r="D104" s="40"/>
      <c r="E104" s="40"/>
      <c r="F104" s="40"/>
      <c r="G104" s="40"/>
      <c r="H104" s="40"/>
      <c r="I104" s="3">
        <f t="shared" si="0"/>
        <v>108.1</v>
      </c>
      <c r="J104" s="3">
        <f>J105+J106+J107+J108+J109+J110</f>
        <v>78.2</v>
      </c>
      <c r="K104" s="3">
        <f>K105+K106+K107+K108+K109+K110</f>
        <v>0</v>
      </c>
      <c r="L104" s="3">
        <f>L105+L106+L107+L108+L109+L110</f>
        <v>0</v>
      </c>
      <c r="M104" s="40">
        <f>M105+M106+M107+M108+M109+M110</f>
        <v>0</v>
      </c>
      <c r="N104" s="3">
        <f>N105+N106+N107+N108+N109+N110</f>
        <v>29.9</v>
      </c>
    </row>
    <row r="105" spans="1:14" ht="15.75">
      <c r="A105" s="27" t="s">
        <v>25</v>
      </c>
      <c r="B105" s="2"/>
      <c r="C105" s="1"/>
      <c r="D105" s="1"/>
      <c r="E105" s="1"/>
      <c r="F105" s="1"/>
      <c r="G105" s="1"/>
      <c r="H105" s="1"/>
      <c r="I105" s="1">
        <f t="shared" si="0"/>
        <v>39.5</v>
      </c>
      <c r="J105" s="1">
        <v>39.5</v>
      </c>
      <c r="K105" s="1"/>
      <c r="L105" s="1"/>
      <c r="M105" s="1"/>
      <c r="N105" s="1"/>
    </row>
    <row r="106" spans="1:14" ht="15.75">
      <c r="A106" s="27" t="s">
        <v>26</v>
      </c>
      <c r="B106" s="2"/>
      <c r="C106" s="1"/>
      <c r="D106" s="1"/>
      <c r="E106" s="1"/>
      <c r="F106" s="1"/>
      <c r="G106" s="1"/>
      <c r="H106" s="1"/>
      <c r="I106" s="1">
        <f t="shared" si="0"/>
        <v>19.7</v>
      </c>
      <c r="J106" s="1">
        <f>12.9+6.8</f>
        <v>19.7</v>
      </c>
      <c r="K106" s="1"/>
      <c r="L106" s="1"/>
      <c r="M106" s="1"/>
      <c r="N106" s="1"/>
    </row>
    <row r="107" spans="1:14" ht="15.75">
      <c r="A107" s="27" t="s">
        <v>27</v>
      </c>
      <c r="B107" s="2"/>
      <c r="C107" s="1"/>
      <c r="D107" s="1"/>
      <c r="E107" s="1"/>
      <c r="F107" s="1"/>
      <c r="G107" s="1"/>
      <c r="H107" s="1"/>
      <c r="I107" s="1">
        <f t="shared" si="0"/>
        <v>29.9</v>
      </c>
      <c r="J107" s="1"/>
      <c r="K107" s="1"/>
      <c r="L107" s="1"/>
      <c r="M107" s="1"/>
      <c r="N107" s="1">
        <v>29.9</v>
      </c>
    </row>
    <row r="108" spans="1:14" ht="15.75">
      <c r="A108" s="27" t="s">
        <v>28</v>
      </c>
      <c r="B108" s="2"/>
      <c r="C108" s="1"/>
      <c r="D108" s="1"/>
      <c r="E108" s="1"/>
      <c r="F108" s="1"/>
      <c r="G108" s="1"/>
      <c r="H108" s="1"/>
      <c r="I108" s="1">
        <f t="shared" si="0"/>
        <v>9.6</v>
      </c>
      <c r="J108" s="1">
        <v>9.6</v>
      </c>
      <c r="K108" s="1"/>
      <c r="L108" s="1"/>
      <c r="M108" s="1"/>
      <c r="N108" s="1"/>
    </row>
    <row r="109" spans="1:14" ht="15.75">
      <c r="A109" s="27" t="s">
        <v>29</v>
      </c>
      <c r="B109" s="2"/>
      <c r="C109" s="1"/>
      <c r="D109" s="1"/>
      <c r="E109" s="1"/>
      <c r="F109" s="1"/>
      <c r="G109" s="1"/>
      <c r="H109" s="1"/>
      <c r="I109" s="1">
        <f t="shared" si="0"/>
        <v>7.5</v>
      </c>
      <c r="J109" s="1">
        <v>7.5</v>
      </c>
      <c r="K109" s="1"/>
      <c r="L109" s="1"/>
      <c r="M109" s="1"/>
      <c r="N109" s="1"/>
    </row>
    <row r="110" spans="1:14" ht="15.75">
      <c r="A110" s="27" t="s">
        <v>30</v>
      </c>
      <c r="B110" s="2"/>
      <c r="C110" s="1"/>
      <c r="D110" s="1"/>
      <c r="E110" s="1"/>
      <c r="F110" s="1"/>
      <c r="G110" s="1"/>
      <c r="H110" s="1"/>
      <c r="I110" s="1">
        <f t="shared" si="0"/>
        <v>1.9</v>
      </c>
      <c r="J110" s="1">
        <v>1.9</v>
      </c>
      <c r="K110" s="1"/>
      <c r="L110" s="1"/>
      <c r="M110" s="1"/>
      <c r="N110" s="1"/>
    </row>
    <row r="111" spans="1:16" ht="15.75">
      <c r="A111" s="27" t="s">
        <v>107</v>
      </c>
      <c r="B111" s="2"/>
      <c r="C111" s="1">
        <v>48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P111" s="6" t="s">
        <v>134</v>
      </c>
    </row>
    <row r="112" spans="1:14" ht="18.75" customHeight="1">
      <c r="A112" s="29" t="s">
        <v>31</v>
      </c>
      <c r="B112" s="2"/>
      <c r="C112" s="41">
        <f>C113+C115+C116</f>
        <v>344.85100000000006</v>
      </c>
      <c r="D112" s="41">
        <f aca="true" t="shared" si="2" ref="D112:N112">D113+D115+D116</f>
        <v>0</v>
      </c>
      <c r="E112" s="41">
        <f t="shared" si="2"/>
        <v>0</v>
      </c>
      <c r="F112" s="41">
        <f t="shared" si="2"/>
        <v>0</v>
      </c>
      <c r="G112" s="41">
        <f t="shared" si="2"/>
        <v>0</v>
      </c>
      <c r="H112" s="41">
        <f t="shared" si="2"/>
        <v>0</v>
      </c>
      <c r="I112" s="41">
        <f>I113+I115+I116</f>
        <v>336.55100000000004</v>
      </c>
      <c r="J112" s="41">
        <f t="shared" si="2"/>
        <v>1.3</v>
      </c>
      <c r="K112" s="41">
        <f t="shared" si="2"/>
        <v>333.8</v>
      </c>
      <c r="L112" s="41">
        <f t="shared" si="2"/>
        <v>0</v>
      </c>
      <c r="M112" s="41">
        <f t="shared" si="2"/>
        <v>0</v>
      </c>
      <c r="N112" s="41">
        <f t="shared" si="2"/>
        <v>1.451</v>
      </c>
    </row>
    <row r="113" spans="1:14" ht="20.25" customHeight="1">
      <c r="A113" s="27" t="s">
        <v>42</v>
      </c>
      <c r="B113" s="2"/>
      <c r="C113" s="1">
        <v>342.1</v>
      </c>
      <c r="D113" s="1"/>
      <c r="E113" s="1"/>
      <c r="F113" s="1"/>
      <c r="G113" s="1"/>
      <c r="H113" s="1"/>
      <c r="I113" s="1">
        <f t="shared" si="0"/>
        <v>333.8</v>
      </c>
      <c r="J113" s="1">
        <v>0</v>
      </c>
      <c r="K113" s="1">
        <v>333.8</v>
      </c>
      <c r="L113" s="1"/>
      <c r="M113" s="1"/>
      <c r="N113" s="1"/>
    </row>
    <row r="114" spans="1:14" ht="15" hidden="1">
      <c r="A114" s="2"/>
      <c r="B114" s="2"/>
      <c r="C114" s="1"/>
      <c r="D114" s="1"/>
      <c r="E114" s="1"/>
      <c r="F114" s="1"/>
      <c r="G114" s="1"/>
      <c r="H114" s="1"/>
      <c r="I114" s="1">
        <f t="shared" si="0"/>
        <v>0</v>
      </c>
      <c r="J114" s="1"/>
      <c r="K114" s="42"/>
      <c r="L114" s="42"/>
      <c r="M114" s="1"/>
      <c r="N114" s="1"/>
    </row>
    <row r="115" spans="1:14" ht="15">
      <c r="A115" s="2" t="s">
        <v>101</v>
      </c>
      <c r="B115" s="2"/>
      <c r="C115" s="1">
        <v>1.451</v>
      </c>
      <c r="D115" s="1"/>
      <c r="E115" s="1"/>
      <c r="F115" s="1"/>
      <c r="G115" s="1"/>
      <c r="H115" s="1"/>
      <c r="I115" s="1">
        <f t="shared" si="0"/>
        <v>1.451</v>
      </c>
      <c r="J115" s="1"/>
      <c r="K115" s="42"/>
      <c r="L115" s="42"/>
      <c r="M115" s="1"/>
      <c r="N115" s="1">
        <v>1.451</v>
      </c>
    </row>
    <row r="116" spans="1:14" ht="15">
      <c r="A116" s="2" t="s">
        <v>102</v>
      </c>
      <c r="B116" s="2"/>
      <c r="C116" s="1">
        <v>1.3</v>
      </c>
      <c r="D116" s="1"/>
      <c r="E116" s="1"/>
      <c r="F116" s="1"/>
      <c r="G116" s="1"/>
      <c r="H116" s="1"/>
      <c r="I116" s="1">
        <f t="shared" si="0"/>
        <v>1.3</v>
      </c>
      <c r="J116" s="1">
        <v>1.3</v>
      </c>
      <c r="K116" s="42"/>
      <c r="L116" s="42"/>
      <c r="M116" s="1"/>
      <c r="N116" s="1"/>
    </row>
    <row r="117" spans="1:14" ht="15.75">
      <c r="A117" s="29" t="s">
        <v>38</v>
      </c>
      <c r="B117" s="2"/>
      <c r="C117" s="42">
        <f>60-18+6.5+C121+C122+C123+C124+C125+C126</f>
        <v>190</v>
      </c>
      <c r="D117" s="1"/>
      <c r="E117" s="1"/>
      <c r="F117" s="1"/>
      <c r="G117" s="1"/>
      <c r="H117" s="1"/>
      <c r="I117" s="42">
        <f aca="true" t="shared" si="3" ref="I117:N117">I118+I119+I121+I122+I123+I124+I125</f>
        <v>113.10000000000001</v>
      </c>
      <c r="J117" s="42">
        <f t="shared" si="3"/>
        <v>6.9</v>
      </c>
      <c r="K117" s="42">
        <f t="shared" si="3"/>
        <v>0</v>
      </c>
      <c r="L117" s="42">
        <f t="shared" si="3"/>
        <v>95.6</v>
      </c>
      <c r="M117" s="42">
        <f t="shared" si="3"/>
        <v>0</v>
      </c>
      <c r="N117" s="42">
        <f t="shared" si="3"/>
        <v>10.599999999999998</v>
      </c>
    </row>
    <row r="118" spans="1:14" ht="15.75">
      <c r="A118" s="27" t="s">
        <v>135</v>
      </c>
      <c r="B118" s="2"/>
      <c r="C118" s="1"/>
      <c r="D118" s="1"/>
      <c r="E118" s="1"/>
      <c r="F118" s="1"/>
      <c r="G118" s="1"/>
      <c r="H118" s="1"/>
      <c r="I118" s="1">
        <f>J118+K118+L118+N118</f>
        <v>2</v>
      </c>
      <c r="J118" s="1">
        <f>2.1-0.1</f>
        <v>2</v>
      </c>
      <c r="K118" s="1"/>
      <c r="L118" s="1"/>
      <c r="M118" s="1"/>
      <c r="N118" s="1"/>
    </row>
    <row r="119" spans="1:14" ht="15.75">
      <c r="A119" s="27" t="s">
        <v>136</v>
      </c>
      <c r="B119" s="2"/>
      <c r="C119" s="1"/>
      <c r="D119" s="1"/>
      <c r="E119" s="1"/>
      <c r="F119" s="1"/>
      <c r="G119" s="1"/>
      <c r="H119" s="1"/>
      <c r="I119" s="1">
        <f t="shared" si="0"/>
        <v>3.5</v>
      </c>
      <c r="J119" s="1">
        <f>3.5</f>
        <v>3.5</v>
      </c>
      <c r="K119" s="1"/>
      <c r="L119" s="1"/>
      <c r="M119" s="1"/>
      <c r="N119" s="1"/>
    </row>
    <row r="120" spans="1:14" ht="15.75">
      <c r="A120" s="27" t="s">
        <v>137</v>
      </c>
      <c r="B120" s="2"/>
      <c r="C120" s="1"/>
      <c r="D120" s="1"/>
      <c r="E120" s="1"/>
      <c r="F120" s="1"/>
      <c r="G120" s="1"/>
      <c r="H120" s="1"/>
      <c r="I120" s="1"/>
      <c r="J120" s="1">
        <v>6.5</v>
      </c>
      <c r="K120" s="1"/>
      <c r="L120" s="1"/>
      <c r="M120" s="1"/>
      <c r="N120" s="1"/>
    </row>
    <row r="121" spans="1:14" ht="15.75" customHeight="1">
      <c r="A121" s="27" t="s">
        <v>138</v>
      </c>
      <c r="B121" s="2"/>
      <c r="C121" s="1">
        <v>95.6</v>
      </c>
      <c r="D121" s="1"/>
      <c r="E121" s="1"/>
      <c r="F121" s="1"/>
      <c r="G121" s="1"/>
      <c r="H121" s="1"/>
      <c r="I121" s="1">
        <f t="shared" si="0"/>
        <v>95.6</v>
      </c>
      <c r="J121" s="1"/>
      <c r="K121" s="1"/>
      <c r="L121" s="1">
        <v>95.6</v>
      </c>
      <c r="M121" s="1"/>
      <c r="N121" s="1"/>
    </row>
    <row r="122" spans="1:14" ht="15.75">
      <c r="A122" s="27" t="s">
        <v>74</v>
      </c>
      <c r="B122" s="2"/>
      <c r="C122" s="1">
        <v>4.8</v>
      </c>
      <c r="D122" s="1"/>
      <c r="E122" s="1"/>
      <c r="F122" s="1"/>
      <c r="G122" s="1"/>
      <c r="H122" s="1"/>
      <c r="I122" s="1">
        <f aca="true" t="shared" si="4" ref="I122:I129">J122+K122+L122+N122</f>
        <v>8.899999999999999</v>
      </c>
      <c r="J122" s="1"/>
      <c r="K122" s="1"/>
      <c r="L122" s="1"/>
      <c r="M122" s="1"/>
      <c r="N122" s="1">
        <f>4.8+4.1</f>
        <v>8.899999999999999</v>
      </c>
    </row>
    <row r="123" spans="1:14" ht="15.75">
      <c r="A123" s="27" t="s">
        <v>87</v>
      </c>
      <c r="B123" s="2"/>
      <c r="C123" s="1">
        <v>0.4</v>
      </c>
      <c r="D123" s="1"/>
      <c r="E123" s="1"/>
      <c r="F123" s="1"/>
      <c r="G123" s="1"/>
      <c r="H123" s="1"/>
      <c r="I123" s="1">
        <f t="shared" si="4"/>
        <v>0.4</v>
      </c>
      <c r="J123" s="1">
        <v>0.4</v>
      </c>
      <c r="K123" s="1"/>
      <c r="L123" s="1"/>
      <c r="M123" s="1"/>
      <c r="N123" s="1"/>
    </row>
    <row r="124" spans="1:14" ht="15.75">
      <c r="A124" s="27" t="s">
        <v>84</v>
      </c>
      <c r="B124" s="2"/>
      <c r="C124" s="1">
        <v>1</v>
      </c>
      <c r="D124" s="1"/>
      <c r="E124" s="1"/>
      <c r="F124" s="1"/>
      <c r="G124" s="1"/>
      <c r="H124" s="1"/>
      <c r="I124" s="1">
        <f t="shared" si="4"/>
        <v>1</v>
      </c>
      <c r="J124" s="1">
        <v>1</v>
      </c>
      <c r="K124" s="1"/>
      <c r="L124" s="1"/>
      <c r="M124" s="1"/>
      <c r="N124" s="1"/>
    </row>
    <row r="125" spans="1:14" ht="15.75">
      <c r="A125" s="27" t="s">
        <v>111</v>
      </c>
      <c r="B125" s="2"/>
      <c r="C125" s="1">
        <v>1.7</v>
      </c>
      <c r="D125" s="1"/>
      <c r="E125" s="1"/>
      <c r="F125" s="1"/>
      <c r="G125" s="1"/>
      <c r="H125" s="1"/>
      <c r="I125" s="1">
        <f t="shared" si="4"/>
        <v>1.7</v>
      </c>
      <c r="J125" s="1"/>
      <c r="K125" s="1"/>
      <c r="L125" s="1"/>
      <c r="M125" s="1"/>
      <c r="N125" s="1">
        <v>1.7</v>
      </c>
    </row>
    <row r="126" spans="1:14" ht="15.75">
      <c r="A126" s="27" t="s">
        <v>139</v>
      </c>
      <c r="B126" s="2"/>
      <c r="C126" s="1">
        <f>20+18</f>
        <v>38</v>
      </c>
      <c r="D126" s="1"/>
      <c r="E126" s="1"/>
      <c r="F126" s="1"/>
      <c r="G126" s="1"/>
      <c r="H126" s="1"/>
      <c r="I126" s="1"/>
      <c r="J126" s="1">
        <v>20</v>
      </c>
      <c r="K126" s="1"/>
      <c r="L126" s="1"/>
      <c r="M126" s="1"/>
      <c r="N126" s="1">
        <v>18</v>
      </c>
    </row>
    <row r="127" spans="1:14" ht="15.75">
      <c r="A127" s="29" t="s">
        <v>39</v>
      </c>
      <c r="B127" s="2"/>
      <c r="C127" s="42">
        <f>160+C141+C142+C143</f>
        <v>191.15</v>
      </c>
      <c r="D127" s="1"/>
      <c r="E127" s="1"/>
      <c r="F127" s="1"/>
      <c r="G127" s="1"/>
      <c r="H127" s="1"/>
      <c r="I127" s="42">
        <f>J127+K127+L127+N127</f>
        <v>64.44</v>
      </c>
      <c r="J127" s="1">
        <f>J128+J129+J139+J140+J141+J142</f>
        <v>4.1</v>
      </c>
      <c r="K127" s="1">
        <f>K128+K129+K139+K140+K141+K142</f>
        <v>0</v>
      </c>
      <c r="L127" s="1">
        <f>L128+L129+L139+L140+L141+L142</f>
        <v>0</v>
      </c>
      <c r="M127" s="1">
        <f>M128+M129+M139+M140+M141+M142</f>
        <v>0</v>
      </c>
      <c r="N127" s="1">
        <f>N128+N129+N139+N140+N141+N142</f>
        <v>60.34</v>
      </c>
    </row>
    <row r="128" spans="1:14" ht="15.75">
      <c r="A128" s="27" t="s">
        <v>140</v>
      </c>
      <c r="B128" s="27"/>
      <c r="C128" s="42"/>
      <c r="D128" s="1"/>
      <c r="E128" s="1"/>
      <c r="F128" s="1"/>
      <c r="G128" s="1"/>
      <c r="H128" s="1"/>
      <c r="I128" s="1">
        <f>J128+K128+L128+N128</f>
        <v>17</v>
      </c>
      <c r="J128" s="42"/>
      <c r="K128" s="42"/>
      <c r="L128" s="42"/>
      <c r="M128" s="42"/>
      <c r="N128" s="1">
        <v>17</v>
      </c>
    </row>
    <row r="129" spans="1:14" ht="15.75">
      <c r="A129" s="27" t="s">
        <v>141</v>
      </c>
      <c r="B129" s="27"/>
      <c r="C129" s="1"/>
      <c r="D129" s="1"/>
      <c r="E129" s="1"/>
      <c r="F129" s="1"/>
      <c r="G129" s="1"/>
      <c r="H129" s="1"/>
      <c r="I129" s="1">
        <f t="shared" si="4"/>
        <v>12</v>
      </c>
      <c r="J129" s="1"/>
      <c r="K129" s="1"/>
      <c r="L129" s="1"/>
      <c r="M129" s="1"/>
      <c r="N129" s="1">
        <v>12</v>
      </c>
    </row>
    <row r="130" spans="1:14" ht="15.75" hidden="1">
      <c r="A130" s="27"/>
      <c r="B130" s="2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 hidden="1">
      <c r="A131" s="27"/>
      <c r="B131" s="2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 hidden="1">
      <c r="A132" s="27"/>
      <c r="B132" s="2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 hidden="1">
      <c r="A133" s="27"/>
      <c r="B133" s="2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 hidden="1">
      <c r="A134" s="27"/>
      <c r="B134" s="2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 hidden="1">
      <c r="A135" s="27"/>
      <c r="B135" s="2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 hidden="1">
      <c r="A136" s="27"/>
      <c r="B136" s="27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</row>
    <row r="137" spans="1:14" ht="15.75" hidden="1">
      <c r="A137" s="27"/>
      <c r="B137" s="27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</row>
    <row r="138" spans="1:14" ht="15.75" hidden="1">
      <c r="A138" s="27"/>
      <c r="B138" s="27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</row>
    <row r="139" spans="1:14" ht="15.75">
      <c r="A139" s="27" t="s">
        <v>142</v>
      </c>
      <c r="B139" s="27"/>
      <c r="C139" s="43"/>
      <c r="D139" s="43"/>
      <c r="E139" s="43"/>
      <c r="F139" s="43"/>
      <c r="G139" s="43"/>
      <c r="H139" s="43"/>
      <c r="I139" s="43">
        <f aca="true" t="shared" si="5" ref="I139:I147">J139+K139+L139+N139</f>
        <v>2.6</v>
      </c>
      <c r="J139" s="43"/>
      <c r="K139" s="43"/>
      <c r="L139" s="43"/>
      <c r="M139" s="43"/>
      <c r="N139" s="43">
        <v>2.6</v>
      </c>
    </row>
    <row r="140" spans="1:14" ht="15.75">
      <c r="A140" s="27" t="s">
        <v>143</v>
      </c>
      <c r="B140" s="27"/>
      <c r="C140" s="43"/>
      <c r="D140" s="43"/>
      <c r="E140" s="43"/>
      <c r="F140" s="43"/>
      <c r="G140" s="43"/>
      <c r="H140" s="43"/>
      <c r="I140" s="1">
        <f t="shared" si="5"/>
        <v>27</v>
      </c>
      <c r="J140" s="1"/>
      <c r="K140" s="1"/>
      <c r="L140" s="1"/>
      <c r="M140" s="1"/>
      <c r="N140" s="1">
        <v>27</v>
      </c>
    </row>
    <row r="141" spans="1:14" ht="15.75">
      <c r="A141" s="27" t="s">
        <v>25</v>
      </c>
      <c r="B141" s="27"/>
      <c r="C141" s="43">
        <v>4.1</v>
      </c>
      <c r="D141" s="43"/>
      <c r="E141" s="43"/>
      <c r="F141" s="43"/>
      <c r="G141" s="43"/>
      <c r="H141" s="43"/>
      <c r="I141" s="1">
        <f t="shared" si="5"/>
        <v>4.1</v>
      </c>
      <c r="J141" s="1">
        <v>4.1</v>
      </c>
      <c r="K141" s="1"/>
      <c r="L141" s="1"/>
      <c r="M141" s="1"/>
      <c r="N141" s="1"/>
    </row>
    <row r="142" spans="1:14" ht="15.75">
      <c r="A142" s="27" t="s">
        <v>111</v>
      </c>
      <c r="B142" s="27"/>
      <c r="C142" s="43">
        <v>1.74</v>
      </c>
      <c r="D142" s="43"/>
      <c r="E142" s="43"/>
      <c r="F142" s="43"/>
      <c r="G142" s="43"/>
      <c r="H142" s="43"/>
      <c r="I142" s="1">
        <f t="shared" si="5"/>
        <v>1.74</v>
      </c>
      <c r="J142" s="1"/>
      <c r="K142" s="1"/>
      <c r="L142" s="1"/>
      <c r="M142" s="1"/>
      <c r="N142" s="1">
        <v>1.74</v>
      </c>
    </row>
    <row r="143" spans="1:14" ht="15.75">
      <c r="A143" s="27" t="s">
        <v>144</v>
      </c>
      <c r="B143" s="27"/>
      <c r="C143" s="43">
        <v>25.31</v>
      </c>
      <c r="D143" s="43"/>
      <c r="E143" s="43"/>
      <c r="F143" s="43"/>
      <c r="G143" s="43"/>
      <c r="H143" s="43"/>
      <c r="I143" s="1"/>
      <c r="J143" s="1"/>
      <c r="K143" s="1"/>
      <c r="L143" s="1"/>
      <c r="M143" s="1"/>
      <c r="N143" s="1"/>
    </row>
    <row r="144" spans="1:14" ht="15.75">
      <c r="A144" s="29" t="s">
        <v>65</v>
      </c>
      <c r="B144" s="29"/>
      <c r="C144" s="44">
        <f aca="true" t="shared" si="6" ref="C144:H144">C145+C146+C147</f>
        <v>3.7439999999999998</v>
      </c>
      <c r="D144" s="44">
        <f t="shared" si="6"/>
        <v>0</v>
      </c>
      <c r="E144" s="44">
        <f t="shared" si="6"/>
        <v>0</v>
      </c>
      <c r="F144" s="44">
        <f t="shared" si="6"/>
        <v>0</v>
      </c>
      <c r="G144" s="44">
        <f t="shared" si="6"/>
        <v>0</v>
      </c>
      <c r="H144" s="44">
        <f t="shared" si="6"/>
        <v>0</v>
      </c>
      <c r="I144" s="44">
        <f t="shared" si="5"/>
        <v>3.7439999999999998</v>
      </c>
      <c r="J144" s="44">
        <f>J145+J146+J147</f>
        <v>0.864</v>
      </c>
      <c r="K144" s="44">
        <f>K145+K146+K147</f>
        <v>0</v>
      </c>
      <c r="L144" s="44">
        <f>L145+L146+L147</f>
        <v>0</v>
      </c>
      <c r="M144" s="44">
        <f>M145+M146+M147</f>
        <v>0</v>
      </c>
      <c r="N144" s="44">
        <f>N145+N146+N147</f>
        <v>2.88</v>
      </c>
    </row>
    <row r="145" spans="1:14" ht="15">
      <c r="A145" s="2" t="s">
        <v>66</v>
      </c>
      <c r="B145" s="2"/>
      <c r="C145" s="2">
        <v>2.88</v>
      </c>
      <c r="D145" s="2"/>
      <c r="E145" s="2"/>
      <c r="F145" s="2"/>
      <c r="G145" s="2"/>
      <c r="H145" s="2"/>
      <c r="I145" s="43">
        <f t="shared" si="5"/>
        <v>2.88</v>
      </c>
      <c r="J145" s="2"/>
      <c r="K145" s="2"/>
      <c r="L145" s="2"/>
      <c r="M145" s="2"/>
      <c r="N145" s="2">
        <v>2.88</v>
      </c>
    </row>
    <row r="146" spans="1:14" ht="15">
      <c r="A146" s="2" t="s">
        <v>67</v>
      </c>
      <c r="B146" s="2"/>
      <c r="C146" s="2">
        <v>0.594</v>
      </c>
      <c r="D146" s="2"/>
      <c r="E146" s="2"/>
      <c r="F146" s="2"/>
      <c r="G146" s="2"/>
      <c r="H146" s="2"/>
      <c r="I146" s="43">
        <f t="shared" si="5"/>
        <v>0.594</v>
      </c>
      <c r="J146" s="2">
        <v>0.594</v>
      </c>
      <c r="K146" s="2"/>
      <c r="L146" s="2"/>
      <c r="M146" s="2"/>
      <c r="N146" s="2"/>
    </row>
    <row r="147" spans="1:14" ht="15">
      <c r="A147" s="2" t="s">
        <v>68</v>
      </c>
      <c r="B147" s="2"/>
      <c r="C147" s="2">
        <v>0.27</v>
      </c>
      <c r="D147" s="2"/>
      <c r="E147" s="2"/>
      <c r="F147" s="2"/>
      <c r="G147" s="2"/>
      <c r="H147" s="2"/>
      <c r="I147" s="43">
        <f t="shared" si="5"/>
        <v>0.27</v>
      </c>
      <c r="J147" s="2">
        <v>0.27</v>
      </c>
      <c r="K147" s="2"/>
      <c r="L147" s="2"/>
      <c r="M147" s="2"/>
      <c r="N147" s="2"/>
    </row>
    <row r="148" spans="1:14" s="45" customFormat="1" ht="14.25">
      <c r="A148" s="44" t="s">
        <v>69</v>
      </c>
      <c r="B148" s="44"/>
      <c r="C148" s="44">
        <f>C149+C150+C151</f>
        <v>3.5</v>
      </c>
      <c r="D148" s="44"/>
      <c r="E148" s="44"/>
      <c r="F148" s="44"/>
      <c r="G148" s="44"/>
      <c r="H148" s="44"/>
      <c r="I148" s="44">
        <f aca="true" t="shared" si="7" ref="I148:N148">I149+I150+I151</f>
        <v>3.5</v>
      </c>
      <c r="J148" s="44">
        <f t="shared" si="7"/>
        <v>3.5</v>
      </c>
      <c r="K148" s="44">
        <f t="shared" si="7"/>
        <v>0</v>
      </c>
      <c r="L148" s="44">
        <f t="shared" si="7"/>
        <v>0</v>
      </c>
      <c r="M148" s="44">
        <f t="shared" si="7"/>
        <v>0</v>
      </c>
      <c r="N148" s="44">
        <f t="shared" si="7"/>
        <v>0</v>
      </c>
    </row>
    <row r="149" spans="1:14" ht="15">
      <c r="A149" s="2" t="s">
        <v>70</v>
      </c>
      <c r="B149" s="2"/>
      <c r="C149" s="2">
        <v>1.2</v>
      </c>
      <c r="D149" s="2"/>
      <c r="E149" s="2"/>
      <c r="F149" s="2"/>
      <c r="G149" s="2"/>
      <c r="H149" s="2"/>
      <c r="I149" s="43">
        <f aca="true" t="shared" si="8" ref="I149:I155">J149+K149+L149+N149</f>
        <v>1.2</v>
      </c>
      <c r="J149" s="2">
        <v>1.2</v>
      </c>
      <c r="K149" s="2"/>
      <c r="L149" s="2"/>
      <c r="M149" s="2"/>
      <c r="N149" s="2"/>
    </row>
    <row r="150" spans="1:14" ht="15">
      <c r="A150" s="2" t="s">
        <v>71</v>
      </c>
      <c r="B150" s="2"/>
      <c r="C150" s="2">
        <v>0.7</v>
      </c>
      <c r="D150" s="2"/>
      <c r="E150" s="2"/>
      <c r="F150" s="2"/>
      <c r="G150" s="2"/>
      <c r="H150" s="2"/>
      <c r="I150" s="43">
        <f t="shared" si="8"/>
        <v>0.7</v>
      </c>
      <c r="J150" s="2">
        <v>0.7</v>
      </c>
      <c r="K150" s="2"/>
      <c r="L150" s="2"/>
      <c r="M150" s="2"/>
      <c r="N150" s="2"/>
    </row>
    <row r="151" spans="1:14" ht="15">
      <c r="A151" s="2" t="s">
        <v>90</v>
      </c>
      <c r="B151" s="2"/>
      <c r="C151" s="2">
        <v>1.6</v>
      </c>
      <c r="D151" s="2"/>
      <c r="E151" s="2"/>
      <c r="F151" s="2"/>
      <c r="G151" s="2"/>
      <c r="H151" s="2"/>
      <c r="I151" s="43">
        <f t="shared" si="8"/>
        <v>1.6</v>
      </c>
      <c r="J151" s="2">
        <v>1.6</v>
      </c>
      <c r="K151" s="2"/>
      <c r="L151" s="2"/>
      <c r="M151" s="2"/>
      <c r="N151" s="2"/>
    </row>
    <row r="152" spans="1:14" s="37" customFormat="1" ht="12.75">
      <c r="A152" s="30" t="s">
        <v>72</v>
      </c>
      <c r="B152" s="30"/>
      <c r="C152" s="30">
        <f>C153</f>
        <v>47.1</v>
      </c>
      <c r="D152" s="30"/>
      <c r="E152" s="30"/>
      <c r="F152" s="30"/>
      <c r="G152" s="30"/>
      <c r="H152" s="30"/>
      <c r="I152" s="30">
        <f t="shared" si="8"/>
        <v>47.1</v>
      </c>
      <c r="J152" s="30">
        <f>J153</f>
        <v>47.1</v>
      </c>
      <c r="K152" s="30">
        <f>K153</f>
        <v>0</v>
      </c>
      <c r="L152" s="30">
        <f>L153</f>
        <v>0</v>
      </c>
      <c r="M152" s="30">
        <f>M153</f>
        <v>0</v>
      </c>
      <c r="N152" s="30">
        <f>N153</f>
        <v>0</v>
      </c>
    </row>
    <row r="153" spans="1:14" ht="25.5">
      <c r="A153" s="46" t="s">
        <v>73</v>
      </c>
      <c r="B153" s="2"/>
      <c r="C153" s="2">
        <v>47.1</v>
      </c>
      <c r="D153" s="2"/>
      <c r="E153" s="2"/>
      <c r="F153" s="2"/>
      <c r="G153" s="2"/>
      <c r="H153" s="2"/>
      <c r="I153" s="2">
        <f t="shared" si="8"/>
        <v>47.1</v>
      </c>
      <c r="J153" s="2">
        <v>47.1</v>
      </c>
      <c r="K153" s="2"/>
      <c r="L153" s="2"/>
      <c r="M153" s="2"/>
      <c r="N153" s="2"/>
    </row>
    <row r="154" spans="1:14" ht="14.25">
      <c r="A154" s="44" t="s">
        <v>96</v>
      </c>
      <c r="B154" s="2"/>
      <c r="C154" s="30">
        <f>C155</f>
        <v>2</v>
      </c>
      <c r="D154" s="30"/>
      <c r="E154" s="30"/>
      <c r="F154" s="30"/>
      <c r="G154" s="30"/>
      <c r="H154" s="30"/>
      <c r="I154" s="30">
        <f t="shared" si="8"/>
        <v>2</v>
      </c>
      <c r="J154" s="30">
        <f>J155</f>
        <v>0.6</v>
      </c>
      <c r="K154" s="2"/>
      <c r="L154" s="2"/>
      <c r="M154" s="2"/>
      <c r="N154" s="30">
        <f>N155</f>
        <v>1.4</v>
      </c>
    </row>
    <row r="155" spans="1:14" ht="12.75">
      <c r="A155" s="2" t="s">
        <v>97</v>
      </c>
      <c r="B155" s="2"/>
      <c r="C155" s="2">
        <v>2</v>
      </c>
      <c r="D155" s="2"/>
      <c r="E155" s="2"/>
      <c r="F155" s="2"/>
      <c r="G155" s="2"/>
      <c r="H155" s="2"/>
      <c r="I155" s="2">
        <f t="shared" si="8"/>
        <v>2</v>
      </c>
      <c r="J155" s="2">
        <v>0.6</v>
      </c>
      <c r="K155" s="2"/>
      <c r="L155" s="2"/>
      <c r="M155" s="2"/>
      <c r="N155" s="2">
        <v>1.4</v>
      </c>
    </row>
    <row r="156" spans="1:14" s="37" customFormat="1" ht="12.75">
      <c r="A156" s="30" t="s">
        <v>75</v>
      </c>
      <c r="B156" s="30"/>
      <c r="C156" s="30">
        <f>C157+C158+C159</f>
        <v>2.95</v>
      </c>
      <c r="D156" s="30">
        <f aca="true" t="shared" si="9" ref="D156:M156">D157</f>
        <v>0</v>
      </c>
      <c r="E156" s="30">
        <f t="shared" si="9"/>
        <v>0</v>
      </c>
      <c r="F156" s="30">
        <f t="shared" si="9"/>
        <v>0</v>
      </c>
      <c r="G156" s="30">
        <f t="shared" si="9"/>
        <v>0</v>
      </c>
      <c r="H156" s="30">
        <f t="shared" si="9"/>
        <v>0</v>
      </c>
      <c r="I156" s="30">
        <f>I157+I158+I159</f>
        <v>2.95</v>
      </c>
      <c r="J156" s="30">
        <f t="shared" si="9"/>
        <v>0</v>
      </c>
      <c r="K156" s="30">
        <f t="shared" si="9"/>
        <v>0</v>
      </c>
      <c r="L156" s="30">
        <f t="shared" si="9"/>
        <v>0</v>
      </c>
      <c r="M156" s="30">
        <f t="shared" si="9"/>
        <v>0</v>
      </c>
      <c r="N156" s="30">
        <f>N157+N158+N159</f>
        <v>2.95</v>
      </c>
    </row>
    <row r="157" spans="1:14" ht="12.75">
      <c r="A157" s="2" t="s">
        <v>76</v>
      </c>
      <c r="B157" s="2"/>
      <c r="C157" s="2">
        <v>0.2</v>
      </c>
      <c r="D157" s="2"/>
      <c r="E157" s="2"/>
      <c r="F157" s="2"/>
      <c r="G157" s="2"/>
      <c r="H157" s="2"/>
      <c r="I157" s="30">
        <f aca="true" t="shared" si="10" ref="I157:I163">J157+K157+L157+N157</f>
        <v>0.2</v>
      </c>
      <c r="J157" s="2"/>
      <c r="K157" s="2"/>
      <c r="L157" s="2"/>
      <c r="M157" s="2"/>
      <c r="N157" s="2">
        <v>0.2</v>
      </c>
    </row>
    <row r="158" spans="1:14" ht="12.75">
      <c r="A158" s="2" t="s">
        <v>94</v>
      </c>
      <c r="B158" s="2"/>
      <c r="C158" s="2">
        <v>1.75</v>
      </c>
      <c r="D158" s="2"/>
      <c r="E158" s="2"/>
      <c r="F158" s="2"/>
      <c r="G158" s="2"/>
      <c r="H158" s="2"/>
      <c r="I158" s="30">
        <f t="shared" si="10"/>
        <v>1.75</v>
      </c>
      <c r="J158" s="2"/>
      <c r="K158" s="2"/>
      <c r="L158" s="2"/>
      <c r="M158" s="2"/>
      <c r="N158" s="2">
        <v>1.75</v>
      </c>
    </row>
    <row r="159" spans="1:14" ht="12.75">
      <c r="A159" s="2" t="s">
        <v>9</v>
      </c>
      <c r="B159" s="2"/>
      <c r="C159" s="2">
        <v>1</v>
      </c>
      <c r="D159" s="2"/>
      <c r="E159" s="2"/>
      <c r="F159" s="2"/>
      <c r="G159" s="2"/>
      <c r="H159" s="2"/>
      <c r="I159" s="30">
        <f t="shared" si="10"/>
        <v>1</v>
      </c>
      <c r="J159" s="2"/>
      <c r="K159" s="2"/>
      <c r="L159" s="2"/>
      <c r="M159" s="2"/>
      <c r="N159" s="2">
        <v>1</v>
      </c>
    </row>
    <row r="160" spans="1:14" ht="14.25">
      <c r="A160" s="44" t="s">
        <v>81</v>
      </c>
      <c r="B160" s="44"/>
      <c r="C160" s="44">
        <f>C161+C162+C163</f>
        <v>3.5</v>
      </c>
      <c r="D160" s="44"/>
      <c r="E160" s="44"/>
      <c r="F160" s="44"/>
      <c r="G160" s="44"/>
      <c r="H160" s="44"/>
      <c r="I160" s="44">
        <f t="shared" si="10"/>
        <v>3.5</v>
      </c>
      <c r="J160" s="44">
        <f>J161+J162+J163</f>
        <v>3.5</v>
      </c>
      <c r="K160" s="44">
        <f>K161+K162+K163</f>
        <v>0</v>
      </c>
      <c r="L160" s="44">
        <f>L161+L162+L163</f>
        <v>0</v>
      </c>
      <c r="M160" s="44">
        <f>M161+M162+M163</f>
        <v>0</v>
      </c>
      <c r="N160" s="44">
        <f>N161+N162+N163</f>
        <v>0</v>
      </c>
    </row>
    <row r="161" spans="1:14" ht="12.75">
      <c r="A161" s="2" t="s">
        <v>82</v>
      </c>
      <c r="B161" s="2"/>
      <c r="C161" s="2">
        <v>1.8</v>
      </c>
      <c r="D161" s="2"/>
      <c r="E161" s="2"/>
      <c r="F161" s="2"/>
      <c r="G161" s="2"/>
      <c r="H161" s="2"/>
      <c r="I161" s="2">
        <f t="shared" si="10"/>
        <v>1.8</v>
      </c>
      <c r="J161" s="2">
        <v>1.8</v>
      </c>
      <c r="K161" s="2"/>
      <c r="L161" s="2"/>
      <c r="M161" s="2"/>
      <c r="N161" s="2"/>
    </row>
    <row r="162" spans="1:14" ht="12.75">
      <c r="A162" s="2" t="s">
        <v>83</v>
      </c>
      <c r="B162" s="2"/>
      <c r="C162" s="2">
        <v>1</v>
      </c>
      <c r="D162" s="2"/>
      <c r="E162" s="2"/>
      <c r="F162" s="2"/>
      <c r="G162" s="2"/>
      <c r="H162" s="2"/>
      <c r="I162" s="2">
        <f t="shared" si="10"/>
        <v>1</v>
      </c>
      <c r="J162" s="2">
        <v>1</v>
      </c>
      <c r="K162" s="2"/>
      <c r="L162" s="2"/>
      <c r="M162" s="2"/>
      <c r="N162" s="2"/>
    </row>
    <row r="163" spans="1:14" ht="12.75">
      <c r="A163" s="2" t="s">
        <v>84</v>
      </c>
      <c r="B163" s="2"/>
      <c r="C163" s="2">
        <v>0.7</v>
      </c>
      <c r="D163" s="2"/>
      <c r="E163" s="2"/>
      <c r="F163" s="2"/>
      <c r="G163" s="2"/>
      <c r="H163" s="2"/>
      <c r="I163" s="2">
        <f t="shared" si="10"/>
        <v>0.7</v>
      </c>
      <c r="J163" s="2">
        <v>0.7</v>
      </c>
      <c r="K163" s="2"/>
      <c r="L163" s="2"/>
      <c r="M163" s="2"/>
      <c r="N163" s="2"/>
    </row>
    <row r="164" spans="1:14" ht="14.25">
      <c r="A164" s="44" t="s">
        <v>98</v>
      </c>
      <c r="B164" s="2"/>
      <c r="C164" s="30">
        <f>C165+C166</f>
        <v>2.2</v>
      </c>
      <c r="D164" s="30">
        <f aca="true" t="shared" si="11" ref="D164:I164">D165+D166</f>
        <v>0</v>
      </c>
      <c r="E164" s="30">
        <f t="shared" si="11"/>
        <v>0</v>
      </c>
      <c r="F164" s="30">
        <f t="shared" si="11"/>
        <v>0</v>
      </c>
      <c r="G164" s="30">
        <f t="shared" si="11"/>
        <v>0</v>
      </c>
      <c r="H164" s="30">
        <f t="shared" si="11"/>
        <v>0</v>
      </c>
      <c r="I164" s="30">
        <f t="shared" si="11"/>
        <v>2.2</v>
      </c>
      <c r="J164" s="30">
        <f>J165+J166</f>
        <v>1</v>
      </c>
      <c r="K164" s="30">
        <f>K165+K166</f>
        <v>0</v>
      </c>
      <c r="L164" s="30">
        <f>L165+L166</f>
        <v>0</v>
      </c>
      <c r="M164" s="30">
        <f>M165+M166</f>
        <v>0</v>
      </c>
      <c r="N164" s="30">
        <f>N165+N166</f>
        <v>1.2</v>
      </c>
    </row>
    <row r="165" spans="1:14" ht="12.75">
      <c r="A165" s="2" t="s">
        <v>9</v>
      </c>
      <c r="B165" s="2"/>
      <c r="C165" s="2">
        <v>1</v>
      </c>
      <c r="D165" s="2"/>
      <c r="E165" s="2"/>
      <c r="F165" s="2"/>
      <c r="G165" s="2"/>
      <c r="H165" s="2"/>
      <c r="I165" s="2">
        <f>J165+K165+L165+N165</f>
        <v>1</v>
      </c>
      <c r="J165" s="2">
        <v>1</v>
      </c>
      <c r="K165" s="2"/>
      <c r="L165" s="2"/>
      <c r="M165" s="2"/>
      <c r="N165" s="2"/>
    </row>
    <row r="166" spans="1:14" ht="12.75">
      <c r="A166" s="2" t="s">
        <v>99</v>
      </c>
      <c r="B166" s="2"/>
      <c r="C166" s="2">
        <v>1.2</v>
      </c>
      <c r="D166" s="2"/>
      <c r="E166" s="2"/>
      <c r="F166" s="2"/>
      <c r="G166" s="2"/>
      <c r="H166" s="2"/>
      <c r="I166" s="2">
        <f>J166+K166+L166+N166</f>
        <v>1.2</v>
      </c>
      <c r="J166" s="2"/>
      <c r="K166" s="2"/>
      <c r="L166" s="2"/>
      <c r="M166" s="2"/>
      <c r="N166" s="2">
        <v>1.2</v>
      </c>
    </row>
    <row r="167" spans="1:14" ht="14.25">
      <c r="A167" s="44" t="s">
        <v>145</v>
      </c>
      <c r="B167" s="2"/>
      <c r="C167" s="47">
        <f>C169+C168+C170+C171</f>
        <v>20.945</v>
      </c>
      <c r="D167" s="47">
        <f aca="true" t="shared" si="12" ref="D167:N167">D169+D168+D170+D171</f>
        <v>0</v>
      </c>
      <c r="E167" s="47">
        <f t="shared" si="12"/>
        <v>0</v>
      </c>
      <c r="F167" s="47">
        <f t="shared" si="12"/>
        <v>0</v>
      </c>
      <c r="G167" s="47">
        <f t="shared" si="12"/>
        <v>0</v>
      </c>
      <c r="H167" s="47">
        <f t="shared" si="12"/>
        <v>0</v>
      </c>
      <c r="I167" s="47">
        <f t="shared" si="12"/>
        <v>20.945</v>
      </c>
      <c r="J167" s="47">
        <f t="shared" si="12"/>
        <v>20.121</v>
      </c>
      <c r="K167" s="47">
        <f t="shared" si="12"/>
        <v>0</v>
      </c>
      <c r="L167" s="47">
        <f t="shared" si="12"/>
        <v>0</v>
      </c>
      <c r="M167" s="47">
        <f t="shared" si="12"/>
        <v>0</v>
      </c>
      <c r="N167" s="47">
        <f t="shared" si="12"/>
        <v>0.824</v>
      </c>
    </row>
    <row r="168" spans="1:14" ht="15">
      <c r="A168" s="43" t="s">
        <v>148</v>
      </c>
      <c r="B168" s="2"/>
      <c r="C168" s="48">
        <f>4.835</f>
        <v>4.835</v>
      </c>
      <c r="D168" s="48"/>
      <c r="E168" s="48"/>
      <c r="F168" s="48"/>
      <c r="G168" s="48"/>
      <c r="H168" s="48"/>
      <c r="I168" s="2">
        <f>J168+K168+L168+N168</f>
        <v>4.835</v>
      </c>
      <c r="J168" s="48">
        <v>4.835</v>
      </c>
      <c r="K168" s="47"/>
      <c r="L168" s="47"/>
      <c r="M168" s="47"/>
      <c r="N168" s="47"/>
    </row>
    <row r="169" spans="1:14" ht="12.75">
      <c r="A169" s="2" t="s">
        <v>146</v>
      </c>
      <c r="B169" s="2"/>
      <c r="C169" s="49">
        <f>8.106+1.043</f>
        <v>9.149</v>
      </c>
      <c r="D169" s="49"/>
      <c r="E169" s="49"/>
      <c r="F169" s="49"/>
      <c r="G169" s="49"/>
      <c r="H169" s="49"/>
      <c r="I169" s="2">
        <f>J169+K169+L169+N169</f>
        <v>9.149</v>
      </c>
      <c r="J169" s="49">
        <f>8.106+1.043</f>
        <v>9.149</v>
      </c>
      <c r="K169" s="49"/>
      <c r="L169" s="49"/>
      <c r="M169" s="49"/>
      <c r="N169" s="49"/>
    </row>
    <row r="170" spans="1:14" ht="12.75">
      <c r="A170" s="2" t="s">
        <v>155</v>
      </c>
      <c r="B170" s="2"/>
      <c r="C170" s="49">
        <f>6.137</f>
        <v>6.137</v>
      </c>
      <c r="D170" s="49"/>
      <c r="E170" s="49"/>
      <c r="F170" s="49"/>
      <c r="G170" s="49"/>
      <c r="H170" s="49"/>
      <c r="I170" s="2">
        <f>J170+K170+L170+N170</f>
        <v>6.137</v>
      </c>
      <c r="J170" s="49">
        <f>6.137</f>
        <v>6.137</v>
      </c>
      <c r="K170" s="49"/>
      <c r="L170" s="49"/>
      <c r="M170" s="49"/>
      <c r="N170" s="49"/>
    </row>
    <row r="171" spans="1:14" ht="12.75">
      <c r="A171" s="2" t="s">
        <v>156</v>
      </c>
      <c r="B171" s="2"/>
      <c r="C171" s="49">
        <v>0.824</v>
      </c>
      <c r="D171" s="49"/>
      <c r="E171" s="49"/>
      <c r="F171" s="49"/>
      <c r="G171" s="49"/>
      <c r="H171" s="49"/>
      <c r="I171" s="2">
        <f>J171+K171+L171+N171</f>
        <v>0.824</v>
      </c>
      <c r="J171" s="49"/>
      <c r="K171" s="49"/>
      <c r="L171" s="49"/>
      <c r="M171" s="49"/>
      <c r="N171" s="49">
        <f>0.824</f>
        <v>0.824</v>
      </c>
    </row>
    <row r="172" spans="1:14" ht="12.75">
      <c r="A172" s="5" t="s">
        <v>147</v>
      </c>
      <c r="B172" s="5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</row>
    <row r="174" spans="1:2" ht="12.75">
      <c r="A174" s="51" t="s">
        <v>89</v>
      </c>
      <c r="B174" s="51"/>
    </row>
    <row r="175" spans="1:2" ht="12.75">
      <c r="A175" s="51"/>
      <c r="B175" s="51"/>
    </row>
  </sheetData>
  <sheetProtection/>
  <mergeCells count="9">
    <mergeCell ref="A1:N1"/>
    <mergeCell ref="A3:A5"/>
    <mergeCell ref="B3:B5"/>
    <mergeCell ref="C3:H3"/>
    <mergeCell ref="I3:N3"/>
    <mergeCell ref="C4:C5"/>
    <mergeCell ref="D4:H4"/>
    <mergeCell ref="I4:I5"/>
    <mergeCell ref="J4:N4"/>
  </mergeCells>
  <printOptions horizontalCentered="1"/>
  <pageMargins left="0.31496062992125984" right="0.1968503937007874" top="0.31496062992125984" bottom="0.1968503937007874" header="0.31496062992125984" footer="0.11811023622047245"/>
  <pageSetup fitToHeight="5" fitToWidth="1" horizontalDpi="600" verticalDpi="600" orientation="landscape" paperSize="9" scale="80" r:id="rId1"/>
  <rowBreaks count="1" manualBreakCount="1">
    <brk id="7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u250201</dc:creator>
  <cp:keywords/>
  <dc:description/>
  <cp:lastModifiedBy>Server-new</cp:lastModifiedBy>
  <cp:lastPrinted>2020-11-19T08:09:44Z</cp:lastPrinted>
  <dcterms:created xsi:type="dcterms:W3CDTF">2020-03-17T13:57:47Z</dcterms:created>
  <dcterms:modified xsi:type="dcterms:W3CDTF">2020-11-19T08:09:48Z</dcterms:modified>
  <cp:category/>
  <cp:version/>
  <cp:contentType/>
  <cp:contentStatus/>
</cp:coreProperties>
</file>