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'!$E$1:$Q$210</definedName>
    <definedName name="_xlnm.Print_Titles" localSheetId="0">'дод 3 '!$6:$10</definedName>
    <definedName name="_xlnm.Print_Area" localSheetId="0">'дод 3 '!$A$1:$Q$208</definedName>
  </definedNames>
  <calcPr calcId="125725"/>
</workbook>
</file>

<file path=xl/calcChain.xml><?xml version="1.0" encoding="utf-8"?>
<calcChain xmlns="http://schemas.openxmlformats.org/spreadsheetml/2006/main">
  <c r="F201" i="5"/>
  <c r="G84"/>
  <c r="G85"/>
  <c r="P81"/>
  <c r="P49" s="1"/>
  <c r="L49"/>
  <c r="M49"/>
  <c r="N49"/>
  <c r="O49"/>
  <c r="G66"/>
  <c r="G70"/>
  <c r="H65"/>
  <c r="I65"/>
  <c r="G63"/>
  <c r="G62"/>
  <c r="H55"/>
  <c r="H53"/>
  <c r="I53"/>
  <c r="G54"/>
  <c r="G52"/>
  <c r="L147"/>
  <c r="K84"/>
  <c r="H84"/>
  <c r="I84"/>
  <c r="J84"/>
  <c r="L84"/>
  <c r="M84"/>
  <c r="N84"/>
  <c r="O84"/>
  <c r="P84"/>
  <c r="F84"/>
  <c r="Q84"/>
  <c r="K85"/>
  <c r="Q85"/>
  <c r="G112"/>
  <c r="G141"/>
  <c r="G143"/>
  <c r="L178"/>
  <c r="G80"/>
  <c r="G14"/>
  <c r="G126"/>
  <c r="G129"/>
  <c r="G128"/>
  <c r="G127"/>
  <c r="G130"/>
  <c r="G13"/>
  <c r="G160"/>
  <c r="L184"/>
  <c r="P184" s="1"/>
  <c r="L175"/>
  <c r="P175" s="1"/>
  <c r="L165"/>
  <c r="P165" s="1"/>
  <c r="L154"/>
  <c r="P154" s="1"/>
  <c r="L167"/>
  <c r="P167" s="1"/>
  <c r="P174"/>
  <c r="P164"/>
  <c r="P163"/>
  <c r="K132"/>
  <c r="P133"/>
  <c r="K133" s="1"/>
  <c r="F132"/>
  <c r="F133"/>
  <c r="P126"/>
  <c r="P129"/>
  <c r="L127"/>
  <c r="P127" s="1"/>
  <c r="P34"/>
  <c r="K34" s="1"/>
  <c r="O34"/>
  <c r="F34"/>
  <c r="L119"/>
  <c r="P119" s="1"/>
  <c r="K144"/>
  <c r="L143"/>
  <c r="P143" s="1"/>
  <c r="J49"/>
  <c r="L54"/>
  <c r="L53" s="1"/>
  <c r="L52"/>
  <c r="P52" s="1"/>
  <c r="L187"/>
  <c r="P148"/>
  <c r="L196"/>
  <c r="P196" s="1"/>
  <c r="L148"/>
  <c r="L13"/>
  <c r="P13" s="1"/>
  <c r="K49" l="1"/>
  <c r="G49"/>
  <c r="I49"/>
  <c r="H49"/>
  <c r="Q133"/>
  <c r="P54"/>
  <c r="F80"/>
  <c r="F81"/>
  <c r="F79"/>
  <c r="F75"/>
  <c r="F76"/>
  <c r="F77"/>
  <c r="F78"/>
  <c r="F74"/>
  <c r="F73"/>
  <c r="F72"/>
  <c r="G71"/>
  <c r="F70"/>
  <c r="F69"/>
  <c r="F68"/>
  <c r="F67"/>
  <c r="F66"/>
  <c r="G65"/>
  <c r="F63"/>
  <c r="F64"/>
  <c r="F126"/>
  <c r="F62"/>
  <c r="F54"/>
  <c r="F56"/>
  <c r="F59"/>
  <c r="F61"/>
  <c r="F60"/>
  <c r="G55"/>
  <c r="F55" s="1"/>
  <c r="G53"/>
  <c r="F57"/>
  <c r="F50"/>
  <c r="G51"/>
  <c r="F52"/>
  <c r="F14"/>
  <c r="K14"/>
  <c r="M195"/>
  <c r="N195"/>
  <c r="O195"/>
  <c r="L198"/>
  <c r="L195" s="1"/>
  <c r="G197"/>
  <c r="G196"/>
  <c r="P192"/>
  <c r="F191"/>
  <c r="P191"/>
  <c r="K191" s="1"/>
  <c r="P190"/>
  <c r="G189"/>
  <c r="G188"/>
  <c r="G182"/>
  <c r="G181"/>
  <c r="G180"/>
  <c r="P178"/>
  <c r="G176"/>
  <c r="G161"/>
  <c r="G156"/>
  <c r="G150"/>
  <c r="G149"/>
  <c r="G137"/>
  <c r="G142"/>
  <c r="G138"/>
  <c r="L134"/>
  <c r="P134" s="1"/>
  <c r="G134"/>
  <c r="G124"/>
  <c r="G131"/>
  <c r="L131"/>
  <c r="P131" s="1"/>
  <c r="G125"/>
  <c r="P120"/>
  <c r="G118"/>
  <c r="G117"/>
  <c r="G116"/>
  <c r="G115"/>
  <c r="G92"/>
  <c r="G86"/>
  <c r="L80"/>
  <c r="P80" s="1"/>
  <c r="G47"/>
  <c r="G44"/>
  <c r="F43"/>
  <c r="G42"/>
  <c r="L37"/>
  <c r="P37" s="1"/>
  <c r="L35"/>
  <c r="P35" s="1"/>
  <c r="L32"/>
  <c r="P32" s="1"/>
  <c r="G31"/>
  <c r="G29"/>
  <c r="G28"/>
  <c r="G26"/>
  <c r="G25"/>
  <c r="G22"/>
  <c r="G20"/>
  <c r="P17"/>
  <c r="P16"/>
  <c r="G16"/>
  <c r="G21"/>
  <c r="G19"/>
  <c r="G15"/>
  <c r="P15"/>
  <c r="G41"/>
  <c r="F53" l="1"/>
  <c r="K54"/>
  <c r="Q54" s="1"/>
  <c r="P53"/>
  <c r="F51"/>
  <c r="F71"/>
  <c r="F65"/>
  <c r="Q14"/>
  <c r="P198"/>
  <c r="P195" s="1"/>
  <c r="Q191"/>
  <c r="K15" l="1"/>
  <c r="K145"/>
  <c r="F139"/>
  <c r="K177"/>
  <c r="F42"/>
  <c r="K165"/>
  <c r="K202"/>
  <c r="F202"/>
  <c r="K201"/>
  <c r="Q201" s="1"/>
  <c r="K200"/>
  <c r="F200"/>
  <c r="F199"/>
  <c r="Q199" s="1"/>
  <c r="K198"/>
  <c r="F198"/>
  <c r="K197"/>
  <c r="G195"/>
  <c r="G194" s="1"/>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O95"/>
  <c r="N95"/>
  <c r="M95"/>
  <c r="L95"/>
  <c r="J95"/>
  <c r="I83"/>
  <c r="K94"/>
  <c r="F94"/>
  <c r="K93"/>
  <c r="F93"/>
  <c r="K92"/>
  <c r="F92"/>
  <c r="K91"/>
  <c r="F91"/>
  <c r="K90"/>
  <c r="F90"/>
  <c r="K89"/>
  <c r="F89"/>
  <c r="K88"/>
  <c r="F88"/>
  <c r="K87"/>
  <c r="F87"/>
  <c r="K86"/>
  <c r="F86"/>
  <c r="F85"/>
  <c r="G83"/>
  <c r="D84"/>
  <c r="K82"/>
  <c r="F82"/>
  <c r="K81"/>
  <c r="K80"/>
  <c r="K79"/>
  <c r="K78"/>
  <c r="K63"/>
  <c r="K126"/>
  <c r="Q126" s="1"/>
  <c r="K62"/>
  <c r="K61"/>
  <c r="Q61" s="1"/>
  <c r="K60"/>
  <c r="Q58"/>
  <c r="Q57"/>
  <c r="K56"/>
  <c r="K53"/>
  <c r="K52"/>
  <c r="H48"/>
  <c r="K51"/>
  <c r="K50"/>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Q189" l="1"/>
  <c r="J83"/>
  <c r="O83"/>
  <c r="O203" s="1"/>
  <c r="N83"/>
  <c r="N203" s="1"/>
  <c r="M83"/>
  <c r="Q202"/>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K55"/>
  <c r="Q55" s="1"/>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6"/>
  <c r="L135" s="1"/>
  <c r="Q31"/>
  <c r="Q35"/>
  <c r="Q115"/>
  <c r="H136"/>
  <c r="H135" s="1"/>
  <c r="M147"/>
  <c r="M146" s="1"/>
  <c r="Q156"/>
  <c r="Q170"/>
  <c r="I203"/>
  <c r="Q13"/>
  <c r="Q128"/>
  <c r="Q15"/>
  <c r="Q145"/>
  <c r="P136"/>
  <c r="P135" s="1"/>
  <c r="G147"/>
  <c r="G146" s="1"/>
  <c r="G203"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3" l="1"/>
  <c r="K203" s="1"/>
  <c r="K48"/>
  <c r="Q95"/>
  <c r="Q131"/>
  <c r="J203"/>
  <c r="Q125"/>
  <c r="H203"/>
  <c r="Q175"/>
  <c r="L203"/>
  <c r="P203"/>
  <c r="Q197"/>
  <c r="F195"/>
  <c r="Q186"/>
  <c r="F185"/>
  <c r="Q185" s="1"/>
  <c r="Q139"/>
  <c r="Q123"/>
  <c r="Q122" s="1"/>
  <c r="F49"/>
  <c r="G48"/>
  <c r="F12"/>
  <c r="Q136"/>
  <c r="F135"/>
  <c r="Q135" s="1"/>
  <c r="F83"/>
  <c r="K83"/>
  <c r="F147"/>
  <c r="Q83" l="1"/>
  <c r="Q147"/>
  <c r="F146"/>
  <c r="Q146" s="1"/>
  <c r="F194"/>
  <c r="Q194" s="1"/>
  <c r="Q195"/>
  <c r="Q12"/>
  <c r="F11"/>
  <c r="F48"/>
  <c r="Q48" s="1"/>
  <c r="Q49"/>
  <c r="F203" l="1"/>
  <c r="Q203" s="1"/>
  <c r="Q11"/>
</calcChain>
</file>

<file path=xl/sharedStrings.xml><?xml version="1.0" encoding="utf-8"?>
<sst xmlns="http://schemas.openxmlformats.org/spreadsheetml/2006/main" count="806" uniqueCount="555">
  <si>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</si>
  <si>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</si>
  <si>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</si>
  <si>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</si>
  <si>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</si>
  <si>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</si>
  <si>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</si>
  <si>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</si>
  <si>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</si>
  <si>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</si>
  <si>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</si>
  <si>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</si>
  <si>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</si>
  <si>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</si>
  <si>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</si>
  <si>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</si>
  <si>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</si>
  <si>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</si>
  <si>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</si>
  <si>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</si>
  <si>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</si>
  <si>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</si>
  <si>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</si>
  <si>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</si>
  <si>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</si>
  <si>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</si>
  <si>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</si>
  <si>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</si>
  <si>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</si>
  <si>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</si>
  <si>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</si>
  <si>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</si>
  <si>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</si>
  <si>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</si>
  <si>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</si>
  <si>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</si>
  <si>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</si>
  <si>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</si>
  <si>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</si>
  <si>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</si>
  <si>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</si>
  <si>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</si>
  <si>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</si>
  <si>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</si>
  <si>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</si>
  <si>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</si>
  <si>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</si>
  <si>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</si>
  <si>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</si>
  <si>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</si>
  <si>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</si>
  <si>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</si>
  <si>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</si>
  <si>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</si>
  <si>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</si>
  <si>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</si>
  <si>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</si>
  <si>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</si>
  <si>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</si>
  <si>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</si>
  <si>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</si>
  <si>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</si>
  <si>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</si>
  <si>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</si>
  <si>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</si>
  <si>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</si>
  <si>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</si>
  <si>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</si>
  <si>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</si>
  <si>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</si>
  <si>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</si>
  <si>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</si>
  <si>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</si>
  <si>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</si>
  <si>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</si>
  <si>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</si>
  <si>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</si>
  <si>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</si>
  <si>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</si>
  <si>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</si>
  <si>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</si>
  <si>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</si>
  <si>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</si>
  <si>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</si>
  <si>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</si>
  <si>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</si>
  <si>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</si>
  <si>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</si>
  <si>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</si>
  <si>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</si>
  <si>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</si>
  <si>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</si>
  <si>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</si>
  <si>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</si>
  <si>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</si>
  <si>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</si>
  <si>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</si>
  <si>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</si>
  <si>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</si>
  <si>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</si>
  <si>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</si>
  <si>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</si>
  <si>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</si>
  <si>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</si>
  <si>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</si>
  <si>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</si>
  <si>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</si>
  <si>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</si>
  <si>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</si>
  <si>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</si>
  <si>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</si>
  <si>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</si>
  <si>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</si>
  <si>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</si>
  <si>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</si>
  <si>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</si>
  <si>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</si>
  <si>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</si>
  <si>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</si>
  <si>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</si>
  <si>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</si>
  <si>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</si>
  <si>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</si>
  <si>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</si>
  <si>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</si>
  <si>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</si>
  <si>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</si>
  <si>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</si>
  <si>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</si>
  <si>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</si>
  <si>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</si>
  <si>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</si>
  <si>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</si>
  <si>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</si>
  <si>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</si>
  <si>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</si>
  <si>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</si>
  <si>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</si>
  <si>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</si>
  <si>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</si>
  <si>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</si>
  <si>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</si>
  <si>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</si>
  <si>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</si>
  <si>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</si>
  <si>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</si>
  <si>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</si>
  <si>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</si>
  <si>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</si>
  <si>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</si>
  <si>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</si>
  <si>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</si>
  <si>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</si>
  <si>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</si>
  <si>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</si>
  <si>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</si>
  <si>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</si>
  <si>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</si>
  <si>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</si>
  <si>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</si>
  <si>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</si>
  <si>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</si>
  <si>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</si>
  <si>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</si>
  <si>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</si>
  <si>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</si>
  <si>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</si>
  <si>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</si>
  <si>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</si>
  <si>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</si>
  <si>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</si>
  <si>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</si>
  <si>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</si>
  <si>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</si>
  <si>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</si>
  <si>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</si>
  <si>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</si>
  <si>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</si>
  <si>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</si>
  <si>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</si>
  <si>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</si>
  <si>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</si>
  <si>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</si>
  <si>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</si>
  <si>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</si>
  <si>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</si>
  <si>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</si>
  <si>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</si>
  <si>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</si>
  <si>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</si>
  <si>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</si>
  <si>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</si>
  <si>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</si>
  <si>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</si>
  <si>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</si>
  <si>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</si>
  <si>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</si>
  <si>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</si>
  <si>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</si>
  <si>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</si>
  <si>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</si>
  <si>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</si>
  <si>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</si>
  <si>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</si>
  <si>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</si>
  <si>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</si>
  <si>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</si>
  <si>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</si>
  <si>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</si>
  <si>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</si>
  <si>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</si>
  <si>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</si>
  <si>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</si>
  <si>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</si>
  <si>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</si>
  <si>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</si>
  <si>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</si>
  <si>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</si>
  <si>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</si>
  <si>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</si>
  <si>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</si>
  <si>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</si>
  <si>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</si>
  <si>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</si>
  <si>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</si>
  <si>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</si>
  <si>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</si>
  <si>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</si>
  <si>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</si>
  <si>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</si>
  <si>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</si>
  <si>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</si>
  <si>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</si>
  <si>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</si>
  <si>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</si>
  <si>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</si>
  <si>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</si>
  <si>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</si>
  <si>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</si>
  <si>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</si>
  <si>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</si>
  <si>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</si>
  <si>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</si>
  <si>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</si>
  <si>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</si>
  <si>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</si>
  <si>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</si>
  <si>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</si>
  <si>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</si>
  <si>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</si>
  <si>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</si>
  <si>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</si>
  <si>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</si>
  <si>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</si>
  <si>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</si>
  <si>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</si>
  <si>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</si>
  <si>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</si>
  <si>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</si>
  <si>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</si>
  <si>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</si>
  <si>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</si>
  <si>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</si>
  <si>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</si>
  <si>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</si>
  <si>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</si>
  <si>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</si>
  <si>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</si>
  <si>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</si>
  <si>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</si>
  <si>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</si>
  <si>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</si>
  <si>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</si>
  <si>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</si>
  <si>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</si>
  <si>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</si>
  <si>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</si>
  <si>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</si>
  <si>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</si>
  <si>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</si>
  <si>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</si>
  <si>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</si>
  <si>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</si>
  <si>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</si>
  <si>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</si>
  <si>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</si>
  <si>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</si>
  <si>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</si>
  <si>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</si>
  <si>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</si>
  <si>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</si>
  <si>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</si>
  <si>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</si>
  <si>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</si>
  <si>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</si>
  <si>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</si>
  <si>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</si>
  <si>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</si>
  <si>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</si>
  <si>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</si>
  <si>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</si>
  <si>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</si>
  <si>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</si>
  <si>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</si>
  <si>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</si>
  <si>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</si>
  <si>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</si>
  <si>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</si>
  <si>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</si>
  <si>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</si>
  <si>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</si>
  <si>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</si>
  <si>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</si>
  <si>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</si>
  <si>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</si>
  <si>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</si>
  <si>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</si>
  <si>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</si>
  <si>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</si>
  <si>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</si>
  <si>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</si>
  <si>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</si>
  <si>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</si>
  <si>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</si>
  <si>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</si>
  <si>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</si>
  <si>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</si>
  <si>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</si>
  <si>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</si>
  <si>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</si>
  <si>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</si>
  <si>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</si>
  <si>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</si>
  <si>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</si>
  <si>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</si>
  <si>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</si>
  <si>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</si>
  <si>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</si>
  <si>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</si>
  <si>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</si>
  <si>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</si>
  <si>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</si>
  <si>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</si>
  <si>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</si>
  <si>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</si>
  <si>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</si>
  <si>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</si>
  <si>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</si>
  <si>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</si>
  <si>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</si>
  <si>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</si>
  <si>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</si>
  <si>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</si>
  <si>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</si>
  <si>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</si>
  <si>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</si>
  <si>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</si>
  <si>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</si>
  <si>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</si>
  <si>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</si>
  <si>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</si>
  <si>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</si>
  <si>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</si>
  <si>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</si>
  <si>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</si>
  <si>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</si>
  <si>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</si>
  <si>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</si>
  <si>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</si>
  <si>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</si>
  <si>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</si>
  <si>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</si>
  <si>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</si>
  <si>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</si>
  <si>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</si>
  <si>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</si>
  <si>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</si>
  <si>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</si>
  <si>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</si>
  <si>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</si>
  <si>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</si>
  <si>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</si>
  <si>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</si>
  <si>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</si>
  <si>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</si>
  <si>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</si>
  <si>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</si>
  <si>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</si>
  <si>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</si>
  <si>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</si>
  <si>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</si>
  <si>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</si>
  <si>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</si>
  <si>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</si>
  <si>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</si>
  <si>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</si>
  <si>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</si>
  <si>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</si>
  <si>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</si>
  <si>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</si>
  <si>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</si>
  <si>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</si>
  <si>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</si>
  <si>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</si>
  <si>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</si>
  <si>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</si>
  <si>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</si>
  <si>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</si>
  <si>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</si>
  <si>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</si>
  <si>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</si>
  <si>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</si>
  <si>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</si>
  <si>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</si>
  <si>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</si>
  <si>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</si>
  <si>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</si>
  <si>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</si>
  <si>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</si>
  <si>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</si>
  <si>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</si>
  <si>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</si>
  <si>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</si>
  <si>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</si>
  <si>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</si>
  <si>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</si>
  <si>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</si>
  <si>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</si>
  <si>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</si>
  <si>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</si>
  <si>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</si>
  <si>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</si>
  <si>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</si>
  <si>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</si>
  <si>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</si>
  <si>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</si>
  <si>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</si>
  <si>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</si>
  <si>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</si>
  <si>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</si>
  <si>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</si>
  <si>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</si>
  <si>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</si>
  <si>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</si>
  <si>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</si>
  <si>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</si>
  <si>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</si>
  <si>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</si>
  <si>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</si>
  <si>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</si>
  <si>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</si>
  <si>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</si>
  <si>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</si>
  <si>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</si>
  <si>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</si>
  <si>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</si>
  <si>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</si>
  <si>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</si>
  <si>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</si>
  <si>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</si>
  <si>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</si>
  <si>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</si>
  <si>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</si>
  <si>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</si>
  <si>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</si>
  <si>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</si>
  <si>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</si>
  <si>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</si>
  <si>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</si>
  <si>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</si>
  <si>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</si>
  <si>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до рішення  міської ради VІІІ скликання </t>
  </si>
  <si>
    <t>Олександр КОДОЛА</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</si>
  <si>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</si>
  <si>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</si>
  <si>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</si>
  <si>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</si>
  <si>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</si>
  <si>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</si>
  <si>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</si>
  <si>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</si>
  <si>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</si>
  <si>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</si>
  <si>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</si>
  <si>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</si>
  <si>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</si>
  <si>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</si>
  <si>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</si>
  <si>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</si>
  <si>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</si>
  <si>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</si>
  <si>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</si>
  <si>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</si>
  <si>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</si>
  <si>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</si>
  <si>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</si>
  <si>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</si>
  <si>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</si>
  <si>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061141</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</si>
  <si>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</si>
  <si>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</si>
  <si>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</si>
  <si>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</si>
  <si>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</si>
  <si>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</si>
  <si>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</si>
  <si>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</si>
  <si>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</si>
  <si>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</si>
  <si>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</si>
  <si>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</si>
  <si>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</si>
  <si>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</si>
  <si>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</si>
  <si>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</si>
  <si>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</si>
  <si>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</si>
  <si>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</si>
  <si>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</si>
  <si>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</si>
  <si>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</si>
  <si>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</si>
  <si>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</si>
  <si>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</si>
  <si>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</si>
  <si>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</si>
  <si>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</si>
  <si>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</si>
  <si>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</si>
  <si>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</si>
  <si>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</si>
  <si>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</si>
  <si>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</si>
  <si>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</si>
  <si>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</si>
  <si>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</si>
  <si>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</si>
  <si>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</si>
  <si>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</si>
  <si>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</si>
  <si>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</si>
  <si>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</si>
  <si>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</si>
  <si>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</si>
  <si>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</si>
  <si>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</si>
  <si>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</si>
  <si>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</si>
  <si>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</si>
  <si>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</si>
  <si>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</si>
  <si>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</si>
  <si>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</si>
  <si>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</si>
  <si>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"Про бюджет Ніжинської міської територіальної громади на     2021 рік"  від  24 грудня 2020 року № 4-4/2020</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</si>
</sst>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 fontId="12" fillId="4" borderId="1" xfId="0" applyNumberFormat="1" applyFont="1" applyFill="1" applyBorder="1" applyAlignment="1" applyProtection="1">
      <alignment horizontal="right" vertical="center" wrapText="1"/>
      <protection locked="0"/>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left" vertical="center"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3"/>
  <sheetViews>
    <sheetView tabSelected="1" view="pageBreakPreview" zoomScale="49" zoomScaleNormal="60" zoomScaleSheetLayoutView="49" workbookViewId="0">
      <pane xSplit="5" ySplit="10" topLeftCell="M194" activePane="bottomRight" state="frozen"/>
      <selection pane="topRight" activeCell="F1" sqref="F1"/>
      <selection pane="bottomLeft" activeCell="A11" sqref="A11"/>
      <selection pane="bottomRight" activeCell="R4" sqref="R4"/>
    </sheetView>
  </sheetViews>
  <sheetFormatPr defaultColWidth="9.109375" defaultRowHeight="24.75" customHeight="1"/>
  <cols>
    <col min="1" max="1" width="16.5546875" style="23" customWidth="1"/>
    <col min="2" max="2" width="19.6640625" style="23" customWidth="1"/>
    <col min="3" max="3" width="11.77734375" style="23" customWidth="1"/>
    <col min="4" max="4" width="66.88671875" style="1" customWidth="1"/>
    <col min="5" max="5" width="6.88671875" style="13" hidden="1" customWidth="1"/>
    <col min="6" max="6" width="24.77734375" style="35" customWidth="1"/>
    <col min="7" max="7" width="28.109375" style="35" customWidth="1"/>
    <col min="8" max="8" width="24.88671875" style="35" customWidth="1"/>
    <col min="9" max="9" width="26.77734375" style="35" customWidth="1"/>
    <col min="10" max="10" width="26.33203125" style="35" customWidth="1"/>
    <col min="11" max="11" width="23.5546875" style="35" customWidth="1"/>
    <col min="12" max="12" width="23.6640625" style="35" customWidth="1"/>
    <col min="13" max="13" width="25.77734375" style="35" customWidth="1"/>
    <col min="14" max="14" width="20.77734375" style="35" customWidth="1"/>
    <col min="15" max="15" width="19.5546875" style="35" customWidth="1"/>
    <col min="16" max="16" width="23.33203125" style="35" customWidth="1"/>
    <col min="17" max="17" width="34.7773437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4" t="s">
        <v>553</v>
      </c>
      <c r="O1" s="144"/>
      <c r="P1" s="144"/>
      <c r="Q1" s="144"/>
      <c r="T1" s="14"/>
    </row>
    <row r="2" spans="1:20" s="6" customFormat="1" ht="24.6" customHeight="1">
      <c r="A2" s="145" t="s">
        <v>300</v>
      </c>
      <c r="B2" s="145"/>
      <c r="C2" s="145"/>
      <c r="D2" s="145"/>
      <c r="E2" s="145"/>
      <c r="F2" s="145"/>
      <c r="G2" s="145"/>
      <c r="H2" s="145"/>
      <c r="I2" s="145"/>
      <c r="J2" s="145"/>
      <c r="K2" s="145"/>
      <c r="L2" s="145"/>
      <c r="M2" s="145"/>
      <c r="N2" s="146" t="s">
        <v>471</v>
      </c>
      <c r="O2" s="146"/>
      <c r="P2" s="146"/>
      <c r="Q2" s="146"/>
      <c r="T2" s="14"/>
    </row>
    <row r="3" spans="1:20" s="6" customFormat="1" ht="51.6" customHeight="1">
      <c r="A3" s="145" t="s">
        <v>473</v>
      </c>
      <c r="B3" s="145"/>
      <c r="C3" s="145"/>
      <c r="D3" s="145"/>
      <c r="E3" s="145"/>
      <c r="F3" s="145"/>
      <c r="G3" s="145"/>
      <c r="H3" s="145"/>
      <c r="I3" s="145"/>
      <c r="J3" s="145"/>
      <c r="K3" s="145"/>
      <c r="L3" s="145"/>
      <c r="M3" s="145"/>
      <c r="N3" s="147" t="s">
        <v>554</v>
      </c>
      <c r="O3" s="147"/>
      <c r="P3" s="147"/>
      <c r="Q3" s="147"/>
      <c r="T3" s="14"/>
    </row>
    <row r="4" spans="1:20" s="6" customFormat="1" ht="27" customHeight="1">
      <c r="A4" s="142">
        <v>25538000000</v>
      </c>
      <c r="B4" s="142"/>
      <c r="C4" s="142"/>
      <c r="D4" s="2"/>
      <c r="E4" s="18"/>
      <c r="F4" s="32"/>
      <c r="G4" s="32"/>
      <c r="H4" s="32"/>
      <c r="I4" s="32"/>
      <c r="J4" s="32"/>
      <c r="K4" s="32"/>
      <c r="L4" s="32"/>
      <c r="M4" s="32"/>
      <c r="N4" s="143"/>
      <c r="O4" s="143"/>
      <c r="P4" s="143"/>
      <c r="Q4" s="143"/>
      <c r="T4" s="14"/>
    </row>
    <row r="5" spans="1:20" s="6" customFormat="1" ht="17.399999999999999" customHeight="1">
      <c r="A5" s="148" t="s">
        <v>446</v>
      </c>
      <c r="B5" s="148"/>
      <c r="C5" s="148"/>
      <c r="D5" s="2"/>
      <c r="E5" s="9"/>
      <c r="F5" s="32"/>
      <c r="G5" s="32"/>
      <c r="H5" s="32"/>
      <c r="I5" s="32"/>
      <c r="J5" s="32"/>
      <c r="K5" s="32"/>
      <c r="L5" s="32"/>
      <c r="M5" s="32"/>
      <c r="N5" s="32"/>
      <c r="O5" s="32"/>
      <c r="P5" s="33"/>
      <c r="Q5" s="33"/>
      <c r="T5" s="14"/>
    </row>
    <row r="6" spans="1:20" s="36" customFormat="1" ht="30.6" customHeight="1">
      <c r="A6" s="149" t="s">
        <v>325</v>
      </c>
      <c r="B6" s="150" t="s">
        <v>542</v>
      </c>
      <c r="C6" s="149" t="s">
        <v>277</v>
      </c>
      <c r="D6" s="153" t="s">
        <v>441</v>
      </c>
      <c r="E6" s="139" t="s">
        <v>56</v>
      </c>
      <c r="F6" s="154" t="s">
        <v>278</v>
      </c>
      <c r="G6" s="155"/>
      <c r="H6" s="155"/>
      <c r="I6" s="155"/>
      <c r="J6" s="156"/>
      <c r="K6" s="137" t="s">
        <v>279</v>
      </c>
      <c r="L6" s="140"/>
      <c r="M6" s="140"/>
      <c r="N6" s="140"/>
      <c r="O6" s="140"/>
      <c r="P6" s="140"/>
      <c r="Q6" s="137" t="s">
        <v>0</v>
      </c>
      <c r="T6" s="37"/>
    </row>
    <row r="7" spans="1:20" s="36" customFormat="1" ht="25.2" customHeight="1">
      <c r="A7" s="149"/>
      <c r="B7" s="151"/>
      <c r="C7" s="149"/>
      <c r="D7" s="153"/>
      <c r="E7" s="139"/>
      <c r="F7" s="137" t="s">
        <v>197</v>
      </c>
      <c r="G7" s="137" t="s">
        <v>46</v>
      </c>
      <c r="H7" s="136" t="s">
        <v>25</v>
      </c>
      <c r="I7" s="136"/>
      <c r="J7" s="137" t="s">
        <v>47</v>
      </c>
      <c r="K7" s="137" t="s">
        <v>197</v>
      </c>
      <c r="L7" s="137" t="s">
        <v>280</v>
      </c>
      <c r="M7" s="137" t="s">
        <v>48</v>
      </c>
      <c r="N7" s="136" t="s">
        <v>25</v>
      </c>
      <c r="O7" s="136"/>
      <c r="P7" s="137" t="s">
        <v>49</v>
      </c>
      <c r="Q7" s="137"/>
      <c r="T7" s="37"/>
    </row>
    <row r="8" spans="1:20" s="36" customFormat="1" ht="16.5" customHeight="1">
      <c r="A8" s="149"/>
      <c r="B8" s="151"/>
      <c r="C8" s="149"/>
      <c r="D8" s="153"/>
      <c r="E8" s="139"/>
      <c r="F8" s="137"/>
      <c r="G8" s="137"/>
      <c r="H8" s="137" t="s">
        <v>465</v>
      </c>
      <c r="I8" s="137" t="s">
        <v>20</v>
      </c>
      <c r="J8" s="137"/>
      <c r="K8" s="137"/>
      <c r="L8" s="138"/>
      <c r="M8" s="138"/>
      <c r="N8" s="137" t="s">
        <v>466</v>
      </c>
      <c r="O8" s="137" t="s">
        <v>20</v>
      </c>
      <c r="P8" s="138"/>
      <c r="Q8" s="137"/>
      <c r="T8" s="37"/>
    </row>
    <row r="9" spans="1:20" s="36" customFormat="1" ht="106.2" customHeight="1">
      <c r="A9" s="149"/>
      <c r="B9" s="152"/>
      <c r="C9" s="149"/>
      <c r="D9" s="153"/>
      <c r="E9" s="139"/>
      <c r="F9" s="137"/>
      <c r="G9" s="137"/>
      <c r="H9" s="137"/>
      <c r="I9" s="137"/>
      <c r="J9" s="137"/>
      <c r="K9" s="137"/>
      <c r="L9" s="138"/>
      <c r="M9" s="138"/>
      <c r="N9" s="137"/>
      <c r="O9" s="137"/>
      <c r="P9" s="138"/>
      <c r="Q9" s="137"/>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56541810</v>
      </c>
      <c r="G11" s="59">
        <f>G12</f>
        <v>55841810</v>
      </c>
      <c r="H11" s="59">
        <f t="shared" ref="H11:P11" si="0">H12</f>
        <v>21837500</v>
      </c>
      <c r="I11" s="59">
        <f t="shared" si="0"/>
        <v>802800</v>
      </c>
      <c r="J11" s="59">
        <f t="shared" si="0"/>
        <v>700000</v>
      </c>
      <c r="K11" s="59">
        <f t="shared" si="0"/>
        <v>13909300</v>
      </c>
      <c r="L11" s="59">
        <f t="shared" si="0"/>
        <v>13879300</v>
      </c>
      <c r="M11" s="59">
        <f t="shared" si="0"/>
        <v>30000</v>
      </c>
      <c r="N11" s="59">
        <f t="shared" si="0"/>
        <v>0</v>
      </c>
      <c r="O11" s="59">
        <f t="shared" si="0"/>
        <v>74500</v>
      </c>
      <c r="P11" s="59">
        <f t="shared" si="0"/>
        <v>13879300</v>
      </c>
      <c r="Q11" s="59">
        <f t="shared" ref="Q11:Q87" si="1">F11+K11</f>
        <v>70451110</v>
      </c>
      <c r="T11" s="16"/>
    </row>
    <row r="12" spans="1:20" s="15" customFormat="1" ht="52.2" customHeight="1">
      <c r="A12" s="60" t="s">
        <v>115</v>
      </c>
      <c r="B12" s="60" t="s">
        <v>115</v>
      </c>
      <c r="C12" s="61"/>
      <c r="D12" s="62" t="s">
        <v>110</v>
      </c>
      <c r="E12" s="61"/>
      <c r="F12" s="63">
        <f t="shared" ref="F12:P12" si="2">SUM(F13:F47)</f>
        <v>56541810</v>
      </c>
      <c r="G12" s="63">
        <f t="shared" si="2"/>
        <v>55841810</v>
      </c>
      <c r="H12" s="63">
        <f t="shared" si="2"/>
        <v>21837500</v>
      </c>
      <c r="I12" s="63">
        <f t="shared" si="2"/>
        <v>802800</v>
      </c>
      <c r="J12" s="63">
        <f t="shared" si="2"/>
        <v>700000</v>
      </c>
      <c r="K12" s="63">
        <f t="shared" si="2"/>
        <v>13909300</v>
      </c>
      <c r="L12" s="63">
        <f>SUM(L13:L47)</f>
        <v>13879300</v>
      </c>
      <c r="M12" s="63">
        <f t="shared" si="2"/>
        <v>30000</v>
      </c>
      <c r="N12" s="63">
        <f t="shared" si="2"/>
        <v>0</v>
      </c>
      <c r="O12" s="63">
        <f t="shared" si="2"/>
        <v>74500</v>
      </c>
      <c r="P12" s="63">
        <f t="shared" si="2"/>
        <v>13879300</v>
      </c>
      <c r="Q12" s="63">
        <f t="shared" si="1"/>
        <v>70451110</v>
      </c>
      <c r="R12" s="38"/>
      <c r="T12" s="16"/>
    </row>
    <row r="13" spans="1:20" s="17" customFormat="1" ht="75.599999999999994" customHeight="1">
      <c r="A13" s="52" t="s">
        <v>116</v>
      </c>
      <c r="B13" s="52" t="s">
        <v>326</v>
      </c>
      <c r="C13" s="52" t="s">
        <v>58</v>
      </c>
      <c r="D13" s="110" t="s">
        <v>477</v>
      </c>
      <c r="E13" s="3" t="s">
        <v>2</v>
      </c>
      <c r="F13" s="86">
        <f t="shared" ref="F13:F90" si="3">G13+J13</f>
        <v>26644400</v>
      </c>
      <c r="G13" s="86">
        <f>25644400+1000000</f>
        <v>26644400</v>
      </c>
      <c r="H13" s="87">
        <v>18826000</v>
      </c>
      <c r="I13" s="87">
        <v>688400</v>
      </c>
      <c r="J13" s="87"/>
      <c r="K13" s="86">
        <f t="shared" ref="K13:K46" si="4">M13+P13</f>
        <v>90000</v>
      </c>
      <c r="L13" s="86">
        <f>60000</f>
        <v>60000</v>
      </c>
      <c r="M13" s="86">
        <v>30000</v>
      </c>
      <c r="N13" s="86"/>
      <c r="O13" s="87"/>
      <c r="P13" s="87">
        <f>L13</f>
        <v>60000</v>
      </c>
      <c r="Q13" s="63">
        <f t="shared" si="1"/>
        <v>26734400</v>
      </c>
      <c r="T13" s="14"/>
    </row>
    <row r="14" spans="1:20" s="17" customFormat="1" ht="45" customHeight="1">
      <c r="A14" s="52" t="s">
        <v>134</v>
      </c>
      <c r="B14" s="52" t="s">
        <v>266</v>
      </c>
      <c r="C14" s="52" t="s">
        <v>69</v>
      </c>
      <c r="D14" s="110" t="s">
        <v>135</v>
      </c>
      <c r="E14" s="3"/>
      <c r="F14" s="86">
        <f t="shared" si="3"/>
        <v>1484000</v>
      </c>
      <c r="G14" s="86">
        <f>210000+70000+400000+503000+1000</f>
        <v>1184000</v>
      </c>
      <c r="H14" s="87"/>
      <c r="I14" s="87"/>
      <c r="J14" s="87">
        <v>300000</v>
      </c>
      <c r="K14" s="86">
        <f t="shared" si="4"/>
        <v>0</v>
      </c>
      <c r="L14" s="86"/>
      <c r="M14" s="86"/>
      <c r="N14" s="86"/>
      <c r="O14" s="87"/>
      <c r="P14" s="87"/>
      <c r="Q14" s="63">
        <f t="shared" si="1"/>
        <v>1484000</v>
      </c>
      <c r="T14" s="14"/>
    </row>
    <row r="15" spans="1:20" s="15" customFormat="1" ht="44.4" customHeight="1">
      <c r="A15" s="52" t="s">
        <v>117</v>
      </c>
      <c r="B15" s="52" t="s">
        <v>327</v>
      </c>
      <c r="C15" s="64" t="s">
        <v>59</v>
      </c>
      <c r="D15" s="111"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2" t="s">
        <v>86</v>
      </c>
      <c r="E16" s="5" t="s">
        <v>52</v>
      </c>
      <c r="F16" s="86">
        <f>G16+J16</f>
        <v>4200000</v>
      </c>
      <c r="G16" s="86">
        <f>4200000</f>
        <v>4200000</v>
      </c>
      <c r="H16" s="87"/>
      <c r="I16" s="87"/>
      <c r="J16" s="87"/>
      <c r="K16" s="86">
        <f t="shared" si="4"/>
        <v>3460000</v>
      </c>
      <c r="L16" s="86">
        <v>3460000</v>
      </c>
      <c r="M16" s="86"/>
      <c r="N16" s="86"/>
      <c r="O16" s="87"/>
      <c r="P16" s="87">
        <f>L16</f>
        <v>3460000</v>
      </c>
      <c r="Q16" s="63">
        <f t="shared" si="1"/>
        <v>7660000</v>
      </c>
      <c r="T16" s="16"/>
    </row>
    <row r="17" spans="1:20" s="15" customFormat="1" ht="46.2" customHeight="1">
      <c r="A17" s="52" t="s">
        <v>121</v>
      </c>
      <c r="B17" s="52" t="s">
        <v>329</v>
      </c>
      <c r="C17" s="52" t="s">
        <v>61</v>
      </c>
      <c r="D17" s="113" t="s">
        <v>105</v>
      </c>
      <c r="E17" s="5"/>
      <c r="F17" s="86">
        <f>G17+J17</f>
        <v>2570000</v>
      </c>
      <c r="G17" s="86">
        <v>2570000</v>
      </c>
      <c r="H17" s="87"/>
      <c r="I17" s="87"/>
      <c r="J17" s="87"/>
      <c r="K17" s="86">
        <f t="shared" si="4"/>
        <v>330000</v>
      </c>
      <c r="L17" s="86">
        <v>330000</v>
      </c>
      <c r="M17" s="86"/>
      <c r="N17" s="86"/>
      <c r="O17" s="87"/>
      <c r="P17" s="88">
        <f>L17</f>
        <v>330000</v>
      </c>
      <c r="Q17" s="63">
        <f t="shared" si="1"/>
        <v>2900000</v>
      </c>
      <c r="T17" s="16"/>
    </row>
    <row r="18" spans="1:20" s="15" customFormat="1" ht="81.599999999999994" customHeight="1">
      <c r="A18" s="52" t="s">
        <v>209</v>
      </c>
      <c r="B18" s="52" t="s">
        <v>330</v>
      </c>
      <c r="C18" s="52" t="s">
        <v>210</v>
      </c>
      <c r="D18" s="113" t="s">
        <v>450</v>
      </c>
      <c r="E18" s="5"/>
      <c r="F18" s="86">
        <f>G18+J18</f>
        <v>3320000</v>
      </c>
      <c r="G18" s="86">
        <v>3320000</v>
      </c>
      <c r="H18" s="87"/>
      <c r="I18" s="87"/>
      <c r="J18" s="87"/>
      <c r="K18" s="86">
        <f t="shared" si="4"/>
        <v>0</v>
      </c>
      <c r="L18" s="86"/>
      <c r="M18" s="86"/>
      <c r="N18" s="86"/>
      <c r="O18" s="87"/>
      <c r="P18" s="87"/>
      <c r="Q18" s="63">
        <f t="shared" si="1"/>
        <v>3320000</v>
      </c>
      <c r="T18" s="16"/>
    </row>
    <row r="19" spans="1:20" s="15" customFormat="1" ht="57" customHeight="1">
      <c r="A19" s="52" t="s">
        <v>118</v>
      </c>
      <c r="B19" s="52" t="s">
        <v>331</v>
      </c>
      <c r="C19" s="52" t="s">
        <v>62</v>
      </c>
      <c r="D19" s="113"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3"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3"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3" t="s">
        <v>211</v>
      </c>
      <c r="E22" s="5"/>
      <c r="F22" s="86">
        <f>G22+J22</f>
        <v>1500000</v>
      </c>
      <c r="G22" s="86">
        <f>1500000</f>
        <v>1500000</v>
      </c>
      <c r="H22" s="87"/>
      <c r="I22" s="87"/>
      <c r="J22" s="87"/>
      <c r="K22" s="86">
        <f t="shared" si="4"/>
        <v>0</v>
      </c>
      <c r="L22" s="86"/>
      <c r="M22" s="86"/>
      <c r="N22" s="86"/>
      <c r="O22" s="87"/>
      <c r="P22" s="87"/>
      <c r="Q22" s="63">
        <f t="shared" si="1"/>
        <v>1500000</v>
      </c>
      <c r="T22" s="16"/>
    </row>
    <row r="23" spans="1:20" s="15" customFormat="1" ht="55.5" hidden="1" customHeight="1">
      <c r="A23" s="52" t="s">
        <v>227</v>
      </c>
      <c r="B23" s="52" t="s">
        <v>335</v>
      </c>
      <c r="C23" s="52" t="s">
        <v>62</v>
      </c>
      <c r="D23" s="113"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2"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2"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2"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534</v>
      </c>
      <c r="E27" s="5" t="s">
        <v>35</v>
      </c>
      <c r="F27" s="86">
        <f t="shared" si="3"/>
        <v>3850800</v>
      </c>
      <c r="G27" s="86">
        <v>3850800</v>
      </c>
      <c r="H27" s="87">
        <v>3011500</v>
      </c>
      <c r="I27" s="87">
        <v>114400</v>
      </c>
      <c r="J27" s="87"/>
      <c r="K27" s="86">
        <f t="shared" si="4"/>
        <v>0</v>
      </c>
      <c r="L27" s="86"/>
      <c r="M27" s="86"/>
      <c r="N27" s="86"/>
      <c r="O27" s="87"/>
      <c r="P27" s="87"/>
      <c r="Q27" s="63">
        <f t="shared" si="1"/>
        <v>3850800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2"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2" t="s">
        <v>322</v>
      </c>
      <c r="E30" s="5"/>
      <c r="F30" s="86">
        <f t="shared" si="3"/>
        <v>735000</v>
      </c>
      <c r="G30" s="86">
        <v>735000</v>
      </c>
      <c r="H30" s="87"/>
      <c r="I30" s="87"/>
      <c r="J30" s="87"/>
      <c r="K30" s="86">
        <f t="shared" si="4"/>
        <v>0</v>
      </c>
      <c r="L30" s="86"/>
      <c r="M30" s="86"/>
      <c r="N30" s="86"/>
      <c r="O30" s="87"/>
      <c r="P30" s="87"/>
      <c r="Q30" s="63">
        <f t="shared" si="1"/>
        <v>735000</v>
      </c>
      <c r="T30" s="14"/>
    </row>
    <row r="31" spans="1:20" s="6" customFormat="1" ht="54.6" customHeight="1">
      <c r="A31" s="52" t="s">
        <v>214</v>
      </c>
      <c r="B31" s="52" t="s">
        <v>342</v>
      </c>
      <c r="C31" s="52" t="s">
        <v>63</v>
      </c>
      <c r="D31" s="112"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900000</v>
      </c>
      <c r="L32" s="86">
        <f>450000+450000</f>
        <v>900000</v>
      </c>
      <c r="M32" s="86"/>
      <c r="N32" s="86"/>
      <c r="O32" s="87"/>
      <c r="P32" s="87">
        <f>L32</f>
        <v>900000</v>
      </c>
      <c r="Q32" s="63">
        <f t="shared" si="1"/>
        <v>900000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539</v>
      </c>
      <c r="B34" s="52" t="s">
        <v>459</v>
      </c>
      <c r="C34" s="52" t="s">
        <v>80</v>
      </c>
      <c r="D34" s="114" t="s">
        <v>543</v>
      </c>
      <c r="E34" s="5"/>
      <c r="F34" s="86">
        <f t="shared" si="3"/>
        <v>0</v>
      </c>
      <c r="G34" s="89"/>
      <c r="H34" s="90"/>
      <c r="I34" s="90"/>
      <c r="J34" s="90"/>
      <c r="K34" s="86">
        <f>M34+P34</f>
        <v>74500</v>
      </c>
      <c r="L34" s="89">
        <v>74500</v>
      </c>
      <c r="M34" s="89"/>
      <c r="N34" s="89"/>
      <c r="O34" s="90">
        <f>L34</f>
        <v>74500</v>
      </c>
      <c r="P34" s="90">
        <f>L34</f>
        <v>74500</v>
      </c>
      <c r="Q34" s="63"/>
      <c r="T34" s="14"/>
    </row>
    <row r="35" spans="1:20" s="6" customFormat="1" ht="67.8"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965410</v>
      </c>
      <c r="G37" s="86">
        <v>965410</v>
      </c>
      <c r="H37" s="87"/>
      <c r="I37" s="87"/>
      <c r="J37" s="87"/>
      <c r="K37" s="86">
        <f t="shared" si="4"/>
        <v>1484800</v>
      </c>
      <c r="L37" s="86">
        <f>1484800</f>
        <v>1484800</v>
      </c>
      <c r="M37" s="86"/>
      <c r="N37" s="86"/>
      <c r="O37" s="87"/>
      <c r="P37" s="87">
        <f>L37</f>
        <v>1484800</v>
      </c>
      <c r="Q37" s="63">
        <f t="shared" si="1"/>
        <v>2450210</v>
      </c>
      <c r="T37" s="14"/>
    </row>
    <row r="38" spans="1:20" s="6" customFormat="1" ht="48" customHeight="1">
      <c r="A38" s="52" t="s">
        <v>131</v>
      </c>
      <c r="B38" s="52" t="s">
        <v>346</v>
      </c>
      <c r="C38" s="52" t="s">
        <v>133</v>
      </c>
      <c r="D38" s="112"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2"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8"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2"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134300</v>
      </c>
      <c r="G42" s="89">
        <f>134300</f>
        <v>134300</v>
      </c>
      <c r="H42" s="90"/>
      <c r="I42" s="90"/>
      <c r="J42" s="90"/>
      <c r="K42" s="86">
        <f t="shared" si="4"/>
        <v>0</v>
      </c>
      <c r="L42" s="89"/>
      <c r="M42" s="89"/>
      <c r="N42" s="89"/>
      <c r="O42" s="90"/>
      <c r="P42" s="90">
        <f>L42</f>
        <v>0</v>
      </c>
      <c r="Q42" s="63">
        <f t="shared" si="1"/>
        <v>134300</v>
      </c>
      <c r="T42" s="14"/>
    </row>
    <row r="43" spans="1:20" s="6" customFormat="1" ht="51" customHeight="1">
      <c r="A43" s="65" t="s">
        <v>474</v>
      </c>
      <c r="B43" s="65" t="s">
        <v>475</v>
      </c>
      <c r="C43" s="65" t="s">
        <v>428</v>
      </c>
      <c r="D43" s="115" t="s">
        <v>476</v>
      </c>
      <c r="E43" s="5"/>
      <c r="F43" s="89">
        <f t="shared" si="3"/>
        <v>1400000</v>
      </c>
      <c r="G43" s="89">
        <v>1400000</v>
      </c>
      <c r="H43" s="90"/>
      <c r="I43" s="90"/>
      <c r="J43" s="90"/>
      <c r="K43" s="86"/>
      <c r="L43" s="89"/>
      <c r="M43" s="89"/>
      <c r="N43" s="89"/>
      <c r="O43" s="90"/>
      <c r="P43" s="90"/>
      <c r="Q43" s="63"/>
      <c r="T43" s="14"/>
    </row>
    <row r="44" spans="1:20" s="6" customFormat="1" ht="52.2" customHeight="1">
      <c r="A44" s="65" t="s">
        <v>426</v>
      </c>
      <c r="B44" s="65" t="s">
        <v>427</v>
      </c>
      <c r="C44" s="65" t="s">
        <v>428</v>
      </c>
      <c r="D44" s="115"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5"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2"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2" t="s">
        <v>111</v>
      </c>
      <c r="E47" s="39"/>
      <c r="F47" s="86">
        <f>G47</f>
        <v>300000</v>
      </c>
      <c r="G47" s="86">
        <f>300000</f>
        <v>300000</v>
      </c>
      <c r="H47" s="87"/>
      <c r="I47" s="87"/>
      <c r="J47" s="87"/>
      <c r="K47" s="86"/>
      <c r="L47" s="86"/>
      <c r="M47" s="86"/>
      <c r="N47" s="86"/>
      <c r="O47" s="87"/>
      <c r="P47" s="87"/>
      <c r="Q47" s="63">
        <f t="shared" si="1"/>
        <v>300000</v>
      </c>
      <c r="T47" s="14"/>
    </row>
    <row r="48" spans="1:20" s="18" customFormat="1" ht="55.8" customHeight="1">
      <c r="A48" s="56" t="s">
        <v>138</v>
      </c>
      <c r="B48" s="56" t="s">
        <v>138</v>
      </c>
      <c r="C48" s="66"/>
      <c r="D48" s="84" t="s">
        <v>27</v>
      </c>
      <c r="E48" s="66" t="s">
        <v>27</v>
      </c>
      <c r="F48" s="59">
        <f>F49</f>
        <v>240016289</v>
      </c>
      <c r="G48" s="59">
        <f t="shared" ref="G48:P48" si="5">G49</f>
        <v>240016289</v>
      </c>
      <c r="H48" s="59">
        <f t="shared" si="5"/>
        <v>163124000</v>
      </c>
      <c r="I48" s="59">
        <f t="shared" si="5"/>
        <v>21015260</v>
      </c>
      <c r="J48" s="59">
        <f t="shared" si="5"/>
        <v>0</v>
      </c>
      <c r="K48" s="59">
        <f t="shared" si="5"/>
        <v>10905400</v>
      </c>
      <c r="L48" s="59">
        <f t="shared" si="5"/>
        <v>1955400</v>
      </c>
      <c r="M48" s="59">
        <f t="shared" si="5"/>
        <v>8950000</v>
      </c>
      <c r="N48" s="59">
        <f t="shared" si="5"/>
        <v>170000</v>
      </c>
      <c r="O48" s="59">
        <f t="shared" si="5"/>
        <v>335000</v>
      </c>
      <c r="P48" s="59">
        <f t="shared" si="5"/>
        <v>1955400</v>
      </c>
      <c r="Q48" s="59">
        <f t="shared" si="1"/>
        <v>250921689</v>
      </c>
      <c r="T48" s="16"/>
    </row>
    <row r="49" spans="1:20" s="18" customFormat="1" ht="55.8" customHeight="1">
      <c r="A49" s="60" t="s">
        <v>139</v>
      </c>
      <c r="B49" s="60" t="s">
        <v>139</v>
      </c>
      <c r="C49" s="67"/>
      <c r="D49" s="85" t="s">
        <v>173</v>
      </c>
      <c r="E49" s="67"/>
      <c r="F49" s="63">
        <f>G49</f>
        <v>240016289</v>
      </c>
      <c r="G49" s="63">
        <f>SUM(G50:G82)-G54-G56-G59-G61-G66-G67-G68-G69-G72-G73</f>
        <v>240016289</v>
      </c>
      <c r="H49" s="63">
        <f t="shared" ref="H49:J49" si="6">SUM(H50:H82)-H54-H56-H59-H61-H66-H67-H68-H69-H72-H73</f>
        <v>163124000</v>
      </c>
      <c r="I49" s="63">
        <f t="shared" si="6"/>
        <v>21015260</v>
      </c>
      <c r="J49" s="63">
        <f t="shared" si="6"/>
        <v>0</v>
      </c>
      <c r="K49" s="63">
        <f>M49+P49</f>
        <v>10905400</v>
      </c>
      <c r="L49" s="63">
        <f>L50+L51+L52+L53+L55+L57+L60+L62+L63+L64+L65+L70+L71+L76+L77+L78+L79+L80+L81</f>
        <v>1955400</v>
      </c>
      <c r="M49" s="63">
        <f t="shared" ref="M49:P49" si="7">SUM(M50:M82)-M54-M56-M59-M61-M66-M67-M68-M69-M72-M73</f>
        <v>8950000</v>
      </c>
      <c r="N49" s="63">
        <f t="shared" si="7"/>
        <v>170000</v>
      </c>
      <c r="O49" s="63">
        <f t="shared" si="7"/>
        <v>335000</v>
      </c>
      <c r="P49" s="63">
        <f t="shared" si="7"/>
        <v>1955400</v>
      </c>
      <c r="Q49" s="63">
        <f t="shared" si="1"/>
        <v>250921689</v>
      </c>
      <c r="T49" s="16"/>
    </row>
    <row r="50" spans="1:20" s="6" customFormat="1" ht="77.400000000000006" customHeight="1">
      <c r="A50" s="52" t="s">
        <v>141</v>
      </c>
      <c r="B50" s="52" t="s">
        <v>326</v>
      </c>
      <c r="C50" s="52" t="s">
        <v>58</v>
      </c>
      <c r="D50" s="110" t="s">
        <v>478</v>
      </c>
      <c r="E50" s="83" t="s">
        <v>2</v>
      </c>
      <c r="F50" s="86">
        <f t="shared" si="3"/>
        <v>1804700</v>
      </c>
      <c r="G50" s="86">
        <v>1804700</v>
      </c>
      <c r="H50" s="87">
        <v>1432000</v>
      </c>
      <c r="I50" s="87">
        <v>25500</v>
      </c>
      <c r="J50" s="87"/>
      <c r="K50" s="86">
        <f t="shared" ref="K50:K82" si="8">M50+P50</f>
        <v>0</v>
      </c>
      <c r="L50" s="86"/>
      <c r="M50" s="87"/>
      <c r="N50" s="86"/>
      <c r="O50" s="87"/>
      <c r="P50" s="87"/>
      <c r="Q50" s="63">
        <f t="shared" si="1"/>
        <v>1804700</v>
      </c>
      <c r="T50" s="14"/>
    </row>
    <row r="51" spans="1:20" s="6" customFormat="1" ht="58.8" customHeight="1">
      <c r="A51" s="52" t="s">
        <v>261</v>
      </c>
      <c r="B51" s="52" t="s">
        <v>266</v>
      </c>
      <c r="C51" s="52" t="s">
        <v>69</v>
      </c>
      <c r="D51" s="110" t="s">
        <v>135</v>
      </c>
      <c r="E51" s="83"/>
      <c r="F51" s="86">
        <f t="shared" si="3"/>
        <v>10000</v>
      </c>
      <c r="G51" s="86">
        <f>2000+8000</f>
        <v>10000</v>
      </c>
      <c r="H51" s="87"/>
      <c r="I51" s="87"/>
      <c r="J51" s="87"/>
      <c r="K51" s="86">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54553570</v>
      </c>
      <c r="G52" s="86">
        <f>177600+54375970</f>
        <v>54553570</v>
      </c>
      <c r="H52" s="87">
        <v>34000000</v>
      </c>
      <c r="I52" s="87">
        <v>6344770</v>
      </c>
      <c r="J52" s="87"/>
      <c r="K52" s="86">
        <f t="shared" si="8"/>
        <v>4618100</v>
      </c>
      <c r="L52" s="86">
        <f>305000</f>
        <v>305000</v>
      </c>
      <c r="M52" s="87">
        <v>4313100</v>
      </c>
      <c r="N52" s="86"/>
      <c r="O52" s="87"/>
      <c r="P52" s="87">
        <f>L52</f>
        <v>305000</v>
      </c>
      <c r="Q52" s="63">
        <f t="shared" si="1"/>
        <v>59171670</v>
      </c>
      <c r="T52" s="14"/>
    </row>
    <row r="53" spans="1:20" s="6" customFormat="1" ht="52.8" customHeight="1">
      <c r="A53" s="52" t="s">
        <v>144</v>
      </c>
      <c r="B53" s="52" t="s">
        <v>79</v>
      </c>
      <c r="C53" s="52"/>
      <c r="D53" s="114" t="s">
        <v>544</v>
      </c>
      <c r="E53" s="83" t="s">
        <v>39</v>
      </c>
      <c r="F53" s="86">
        <f>G53</f>
        <v>47555879</v>
      </c>
      <c r="G53" s="86">
        <f>G54</f>
        <v>47555879</v>
      </c>
      <c r="H53" s="86">
        <f t="shared" ref="H53:I53" si="9">H54</f>
        <v>18200000</v>
      </c>
      <c r="I53" s="86">
        <f t="shared" si="9"/>
        <v>13994200</v>
      </c>
      <c r="J53" s="87"/>
      <c r="K53" s="86">
        <f t="shared" si="8"/>
        <v>4801000</v>
      </c>
      <c r="L53" s="86">
        <f>L54</f>
        <v>190000</v>
      </c>
      <c r="M53" s="87">
        <v>4611000</v>
      </c>
      <c r="N53" s="86">
        <v>170000</v>
      </c>
      <c r="O53" s="87">
        <v>335000</v>
      </c>
      <c r="P53" s="87">
        <f>P54</f>
        <v>190000</v>
      </c>
      <c r="Q53" s="63">
        <f>F53+K53</f>
        <v>52356879</v>
      </c>
      <c r="T53" s="14"/>
    </row>
    <row r="54" spans="1:20" s="6" customFormat="1" ht="49.8" customHeight="1">
      <c r="A54" s="68" t="s">
        <v>481</v>
      </c>
      <c r="B54" s="68" t="s">
        <v>479</v>
      </c>
      <c r="C54" s="68" t="s">
        <v>71</v>
      </c>
      <c r="D54" s="117" t="s">
        <v>480</v>
      </c>
      <c r="E54" s="83"/>
      <c r="F54" s="86">
        <f>G54</f>
        <v>47555879</v>
      </c>
      <c r="G54" s="86">
        <f>3500000+6000+5000+115500+43929379</f>
        <v>47555879</v>
      </c>
      <c r="H54" s="87">
        <v>18200000</v>
      </c>
      <c r="I54" s="87">
        <v>13994200</v>
      </c>
      <c r="J54" s="87"/>
      <c r="K54" s="86">
        <f>M54+P54</f>
        <v>4801000</v>
      </c>
      <c r="L54" s="86">
        <f>190000</f>
        <v>190000</v>
      </c>
      <c r="M54" s="87">
        <v>4611000</v>
      </c>
      <c r="N54" s="86">
        <v>170000</v>
      </c>
      <c r="O54" s="87">
        <v>335000</v>
      </c>
      <c r="P54" s="87">
        <f>L54</f>
        <v>190000</v>
      </c>
      <c r="Q54" s="63">
        <f>F54+K54</f>
        <v>52356879</v>
      </c>
      <c r="T54" s="14"/>
    </row>
    <row r="55" spans="1:20" s="6" customFormat="1" ht="47.4" customHeight="1">
      <c r="A55" s="52" t="s">
        <v>482</v>
      </c>
      <c r="B55" s="52" t="s">
        <v>75</v>
      </c>
      <c r="C55" s="52"/>
      <c r="D55" s="114" t="s">
        <v>545</v>
      </c>
      <c r="E55" s="83" t="s">
        <v>7</v>
      </c>
      <c r="F55" s="86">
        <f>G55</f>
        <v>121869900</v>
      </c>
      <c r="G55" s="86">
        <f>G56</f>
        <v>121869900</v>
      </c>
      <c r="H55" s="86">
        <f>H56</f>
        <v>100000000</v>
      </c>
      <c r="I55" s="87"/>
      <c r="J55" s="87"/>
      <c r="K55" s="86">
        <f t="shared" si="8"/>
        <v>0</v>
      </c>
      <c r="L55" s="86"/>
      <c r="M55" s="87"/>
      <c r="N55" s="86"/>
      <c r="O55" s="87"/>
      <c r="P55" s="87"/>
      <c r="Q55" s="63">
        <f t="shared" si="1"/>
        <v>121869900</v>
      </c>
      <c r="T55" s="14"/>
    </row>
    <row r="56" spans="1:20" s="6" customFormat="1" ht="57" customHeight="1">
      <c r="A56" s="52" t="s">
        <v>483</v>
      </c>
      <c r="B56" s="52" t="s">
        <v>484</v>
      </c>
      <c r="C56" s="52" t="s">
        <v>71</v>
      </c>
      <c r="D56" s="54" t="s">
        <v>480</v>
      </c>
      <c r="E56" s="83" t="s">
        <v>8</v>
      </c>
      <c r="F56" s="86">
        <f>G56</f>
        <v>121869900</v>
      </c>
      <c r="G56" s="86">
        <v>121869900</v>
      </c>
      <c r="H56" s="87">
        <v>100000000</v>
      </c>
      <c r="I56" s="87"/>
      <c r="J56" s="87"/>
      <c r="K56" s="86">
        <f t="shared" si="8"/>
        <v>0</v>
      </c>
      <c r="L56" s="86"/>
      <c r="M56" s="87"/>
      <c r="N56" s="86"/>
      <c r="O56" s="87"/>
      <c r="P56" s="87"/>
      <c r="Q56" s="63">
        <f t="shared" si="1"/>
        <v>121869900</v>
      </c>
      <c r="T56" s="14"/>
    </row>
    <row r="57" spans="1:20" s="6" customFormat="1" ht="150.6" customHeight="1">
      <c r="A57" s="52" t="s">
        <v>485</v>
      </c>
      <c r="B57" s="52" t="s">
        <v>64</v>
      </c>
      <c r="C57" s="52"/>
      <c r="D57" s="114" t="s">
        <v>486</v>
      </c>
      <c r="E57" s="83"/>
      <c r="F57" s="86">
        <f>G57</f>
        <v>0</v>
      </c>
      <c r="G57" s="86"/>
      <c r="H57" s="92"/>
      <c r="I57" s="87"/>
      <c r="J57" s="87"/>
      <c r="K57" s="86"/>
      <c r="L57" s="86"/>
      <c r="M57" s="87"/>
      <c r="N57" s="86"/>
      <c r="O57" s="87"/>
      <c r="P57" s="87"/>
      <c r="Q57" s="63">
        <f t="shared" si="1"/>
        <v>0</v>
      </c>
      <c r="T57" s="14"/>
    </row>
    <row r="58" spans="1:20" s="6" customFormat="1" ht="27" hidden="1" customHeight="1">
      <c r="A58" s="69"/>
      <c r="B58" s="52"/>
      <c r="C58" s="70"/>
      <c r="D58" s="83"/>
      <c r="E58" s="83"/>
      <c r="F58" s="93"/>
      <c r="G58" s="93"/>
      <c r="H58" s="94"/>
      <c r="I58" s="87"/>
      <c r="J58" s="87"/>
      <c r="K58" s="86"/>
      <c r="L58" s="86"/>
      <c r="M58" s="87"/>
      <c r="N58" s="86"/>
      <c r="O58" s="87"/>
      <c r="P58" s="87"/>
      <c r="Q58" s="63" t="e">
        <f>#REF!+K58</f>
        <v>#REF!</v>
      </c>
      <c r="T58" s="14"/>
    </row>
    <row r="59" spans="1:20" s="6" customFormat="1" ht="52.8" customHeight="1">
      <c r="A59" s="71" t="s">
        <v>487</v>
      </c>
      <c r="B59" s="52" t="s">
        <v>488</v>
      </c>
      <c r="C59" s="52" t="s">
        <v>71</v>
      </c>
      <c r="D59" s="54" t="s">
        <v>480</v>
      </c>
      <c r="E59" s="83"/>
      <c r="F59" s="93">
        <f>G59</f>
        <v>0</v>
      </c>
      <c r="G59" s="93"/>
      <c r="H59" s="94"/>
      <c r="I59" s="87"/>
      <c r="J59" s="87"/>
      <c r="K59" s="86"/>
      <c r="L59" s="86"/>
      <c r="M59" s="87"/>
      <c r="N59" s="86"/>
      <c r="O59" s="87"/>
      <c r="P59" s="87"/>
      <c r="Q59" s="63"/>
      <c r="T59" s="14"/>
    </row>
    <row r="60" spans="1:20" s="6" customFormat="1" ht="142.19999999999999" customHeight="1">
      <c r="A60" s="52" t="s">
        <v>489</v>
      </c>
      <c r="B60" s="52" t="s">
        <v>289</v>
      </c>
      <c r="C60" s="52"/>
      <c r="D60" s="114" t="s">
        <v>490</v>
      </c>
      <c r="E60" s="83"/>
      <c r="F60" s="86">
        <f>G60</f>
        <v>0</v>
      </c>
      <c r="G60" s="86"/>
      <c r="H60" s="92"/>
      <c r="I60" s="87"/>
      <c r="J60" s="87"/>
      <c r="K60" s="86">
        <f t="shared" si="8"/>
        <v>0</v>
      </c>
      <c r="L60" s="86"/>
      <c r="M60" s="87"/>
      <c r="N60" s="86"/>
      <c r="O60" s="87"/>
      <c r="P60" s="87"/>
      <c r="Q60" s="63">
        <f t="shared" si="1"/>
        <v>0</v>
      </c>
      <c r="T60" s="14"/>
    </row>
    <row r="61" spans="1:20" s="6" customFormat="1" ht="59.4" customHeight="1">
      <c r="A61" s="52" t="s">
        <v>491</v>
      </c>
      <c r="B61" s="52" t="s">
        <v>492</v>
      </c>
      <c r="C61" s="72" t="s">
        <v>71</v>
      </c>
      <c r="D61" s="54" t="s">
        <v>480</v>
      </c>
      <c r="E61" s="118"/>
      <c r="F61" s="119">
        <f>G61</f>
        <v>0</v>
      </c>
      <c r="G61" s="86"/>
      <c r="H61" s="87"/>
      <c r="I61" s="87"/>
      <c r="J61" s="87"/>
      <c r="K61" s="86">
        <f>L61</f>
        <v>0</v>
      </c>
      <c r="L61" s="86"/>
      <c r="M61" s="87"/>
      <c r="N61" s="86"/>
      <c r="O61" s="87"/>
      <c r="P61" s="87"/>
      <c r="Q61" s="63">
        <f t="shared" si="1"/>
        <v>0</v>
      </c>
      <c r="T61" s="14"/>
    </row>
    <row r="62" spans="1:20" s="6" customFormat="1" ht="70.2" customHeight="1">
      <c r="A62" s="52" t="s">
        <v>493</v>
      </c>
      <c r="B62" s="52" t="s">
        <v>76</v>
      </c>
      <c r="C62" s="72" t="s">
        <v>72</v>
      </c>
      <c r="D62" s="114" t="s">
        <v>494</v>
      </c>
      <c r="E62" s="118" t="s">
        <v>43</v>
      </c>
      <c r="F62" s="119">
        <f>G62+J62</f>
        <v>7588800</v>
      </c>
      <c r="G62" s="86">
        <f>6000+7582800</f>
        <v>7588800</v>
      </c>
      <c r="H62" s="87">
        <v>5500000</v>
      </c>
      <c r="I62" s="87">
        <v>395850</v>
      </c>
      <c r="J62" s="87"/>
      <c r="K62" s="86">
        <f t="shared" si="8"/>
        <v>25900</v>
      </c>
      <c r="L62" s="86"/>
      <c r="M62" s="87">
        <v>25900</v>
      </c>
      <c r="N62" s="86"/>
      <c r="O62" s="87"/>
      <c r="P62" s="87"/>
      <c r="Q62" s="63">
        <f t="shared" si="1"/>
        <v>7614700</v>
      </c>
      <c r="T62" s="14"/>
    </row>
    <row r="63" spans="1:20" s="6" customFormat="1" ht="50.4" customHeight="1">
      <c r="A63" s="52" t="s">
        <v>498</v>
      </c>
      <c r="B63" s="52" t="s">
        <v>499</v>
      </c>
      <c r="C63" s="72" t="s">
        <v>73</v>
      </c>
      <c r="D63" s="114" t="s">
        <v>216</v>
      </c>
      <c r="E63" s="118"/>
      <c r="F63" s="119">
        <f t="shared" ref="F63:F64" si="10">G63+J63</f>
        <v>4128650</v>
      </c>
      <c r="G63" s="86">
        <f>4128650</f>
        <v>4128650</v>
      </c>
      <c r="H63" s="87">
        <v>3000000</v>
      </c>
      <c r="I63" s="87">
        <v>83250</v>
      </c>
      <c r="J63" s="87"/>
      <c r="K63" s="86">
        <f t="shared" si="8"/>
        <v>0</v>
      </c>
      <c r="L63" s="86"/>
      <c r="M63" s="87"/>
      <c r="N63" s="86"/>
      <c r="O63" s="87"/>
      <c r="P63" s="87"/>
      <c r="Q63" s="63">
        <f t="shared" si="1"/>
        <v>4128650</v>
      </c>
      <c r="T63" s="14"/>
    </row>
    <row r="64" spans="1:20" s="6" customFormat="1" ht="41.4" customHeight="1">
      <c r="A64" s="52" t="s">
        <v>500</v>
      </c>
      <c r="B64" s="52" t="s">
        <v>501</v>
      </c>
      <c r="C64" s="72" t="s">
        <v>73</v>
      </c>
      <c r="D64" s="114" t="s">
        <v>256</v>
      </c>
      <c r="E64" s="118"/>
      <c r="F64" s="119">
        <f t="shared" si="10"/>
        <v>18100</v>
      </c>
      <c r="G64" s="86">
        <v>18100</v>
      </c>
      <c r="H64" s="87"/>
      <c r="I64" s="87"/>
      <c r="J64" s="87"/>
      <c r="K64" s="86"/>
      <c r="L64" s="86"/>
      <c r="M64" s="87"/>
      <c r="N64" s="86"/>
      <c r="O64" s="87"/>
      <c r="P64" s="87"/>
      <c r="Q64" s="63"/>
      <c r="T64" s="14"/>
    </row>
    <row r="65" spans="1:20" s="6" customFormat="1" ht="50.4" customHeight="1">
      <c r="A65" s="52" t="s">
        <v>145</v>
      </c>
      <c r="B65" s="52" t="s">
        <v>353</v>
      </c>
      <c r="C65" s="72"/>
      <c r="D65" s="114" t="s">
        <v>502</v>
      </c>
      <c r="E65" s="118"/>
      <c r="F65" s="119">
        <f t="shared" ref="F65:F74" si="11">G65</f>
        <v>295190</v>
      </c>
      <c r="G65" s="86">
        <f>G66+G67+G68+G69</f>
        <v>295190</v>
      </c>
      <c r="H65" s="86">
        <f t="shared" ref="H65:I65" si="12">H66+H67+H68+H69</f>
        <v>42000</v>
      </c>
      <c r="I65" s="86">
        <f t="shared" si="12"/>
        <v>81290</v>
      </c>
      <c r="J65" s="87"/>
      <c r="K65" s="86"/>
      <c r="L65" s="86"/>
      <c r="M65" s="87"/>
      <c r="N65" s="86"/>
      <c r="O65" s="87"/>
      <c r="P65" s="87"/>
      <c r="Q65" s="63"/>
      <c r="T65" s="14"/>
    </row>
    <row r="66" spans="1:20" s="6" customFormat="1" ht="72.599999999999994" customHeight="1">
      <c r="A66" s="52" t="s">
        <v>503</v>
      </c>
      <c r="B66" s="52" t="s">
        <v>507</v>
      </c>
      <c r="C66" s="72" t="s">
        <v>73</v>
      </c>
      <c r="D66" s="54" t="s">
        <v>511</v>
      </c>
      <c r="E66" s="83"/>
      <c r="F66" s="86">
        <f t="shared" si="11"/>
        <v>295190</v>
      </c>
      <c r="G66" s="86">
        <f>900+294290</f>
        <v>295190</v>
      </c>
      <c r="H66" s="87">
        <v>42000</v>
      </c>
      <c r="I66" s="87">
        <v>81290</v>
      </c>
      <c r="J66" s="87"/>
      <c r="K66" s="86"/>
      <c r="L66" s="86"/>
      <c r="M66" s="87"/>
      <c r="N66" s="86"/>
      <c r="O66" s="87"/>
      <c r="P66" s="87"/>
      <c r="Q66" s="63"/>
      <c r="T66" s="14"/>
    </row>
    <row r="67" spans="1:20" s="6" customFormat="1" ht="78.599999999999994" customHeight="1">
      <c r="A67" s="52" t="s">
        <v>504</v>
      </c>
      <c r="B67" s="52" t="s">
        <v>508</v>
      </c>
      <c r="C67" s="72" t="s">
        <v>73</v>
      </c>
      <c r="D67" s="54" t="s">
        <v>512</v>
      </c>
      <c r="E67" s="83"/>
      <c r="F67" s="86">
        <f t="shared" si="11"/>
        <v>0</v>
      </c>
      <c r="G67" s="86"/>
      <c r="H67" s="87"/>
      <c r="I67" s="87"/>
      <c r="J67" s="87"/>
      <c r="K67" s="86"/>
      <c r="L67" s="86"/>
      <c r="M67" s="87"/>
      <c r="N67" s="86"/>
      <c r="O67" s="87"/>
      <c r="P67" s="87"/>
      <c r="Q67" s="63"/>
      <c r="T67" s="14"/>
    </row>
    <row r="68" spans="1:20" s="6" customFormat="1" ht="173.4" customHeight="1">
      <c r="A68" s="52" t="s">
        <v>505</v>
      </c>
      <c r="B68" s="52" t="s">
        <v>509</v>
      </c>
      <c r="C68" s="72" t="s">
        <v>73</v>
      </c>
      <c r="D68" s="54" t="s">
        <v>513</v>
      </c>
      <c r="E68" s="83"/>
      <c r="F68" s="86">
        <f t="shared" si="11"/>
        <v>0</v>
      </c>
      <c r="G68" s="86"/>
      <c r="H68" s="87"/>
      <c r="I68" s="87"/>
      <c r="J68" s="87"/>
      <c r="K68" s="86"/>
      <c r="L68" s="86"/>
      <c r="M68" s="87"/>
      <c r="N68" s="86"/>
      <c r="O68" s="87"/>
      <c r="P68" s="87"/>
      <c r="Q68" s="63"/>
      <c r="T68" s="14"/>
    </row>
    <row r="69" spans="1:20" s="6" customFormat="1" ht="164.4" customHeight="1">
      <c r="A69" s="52" t="s">
        <v>506</v>
      </c>
      <c r="B69" s="52" t="s">
        <v>510</v>
      </c>
      <c r="C69" s="72" t="s">
        <v>73</v>
      </c>
      <c r="D69" s="54" t="s">
        <v>514</v>
      </c>
      <c r="E69" s="83"/>
      <c r="F69" s="86">
        <f t="shared" si="11"/>
        <v>0</v>
      </c>
      <c r="G69" s="86"/>
      <c r="H69" s="87"/>
      <c r="I69" s="87"/>
      <c r="J69" s="87"/>
      <c r="K69" s="86"/>
      <c r="L69" s="86"/>
      <c r="M69" s="87"/>
      <c r="N69" s="86"/>
      <c r="O69" s="87"/>
      <c r="P69" s="87"/>
      <c r="Q69" s="63"/>
      <c r="T69" s="14"/>
    </row>
    <row r="70" spans="1:20" s="6" customFormat="1" ht="69" customHeight="1">
      <c r="A70" s="52" t="s">
        <v>515</v>
      </c>
      <c r="B70" s="52" t="s">
        <v>516</v>
      </c>
      <c r="C70" s="52" t="s">
        <v>73</v>
      </c>
      <c r="D70" s="53" t="s">
        <v>517</v>
      </c>
      <c r="E70" s="83"/>
      <c r="F70" s="86">
        <f t="shared" si="11"/>
        <v>1582600</v>
      </c>
      <c r="G70" s="86">
        <f>1582600</f>
        <v>1582600</v>
      </c>
      <c r="H70" s="87">
        <v>950000</v>
      </c>
      <c r="I70" s="87">
        <v>90400</v>
      </c>
      <c r="J70" s="87"/>
      <c r="K70" s="86"/>
      <c r="L70" s="86"/>
      <c r="M70" s="87"/>
      <c r="N70" s="86"/>
      <c r="O70" s="87"/>
      <c r="P70" s="87"/>
      <c r="Q70" s="63"/>
      <c r="T70" s="14"/>
    </row>
    <row r="71" spans="1:20" s="6" customFormat="1" ht="113.4" customHeight="1">
      <c r="A71" s="52" t="s">
        <v>518</v>
      </c>
      <c r="B71" s="52" t="s">
        <v>519</v>
      </c>
      <c r="C71" s="52"/>
      <c r="D71" s="53" t="s">
        <v>520</v>
      </c>
      <c r="E71" s="83"/>
      <c r="F71" s="86">
        <f t="shared" si="11"/>
        <v>0</v>
      </c>
      <c r="G71" s="86">
        <f>G72</f>
        <v>0</v>
      </c>
      <c r="H71" s="87"/>
      <c r="I71" s="87"/>
      <c r="J71" s="87"/>
      <c r="K71" s="86"/>
      <c r="L71" s="86"/>
      <c r="M71" s="87"/>
      <c r="N71" s="86"/>
      <c r="O71" s="87"/>
      <c r="P71" s="87"/>
      <c r="Q71" s="63"/>
      <c r="T71" s="14"/>
    </row>
    <row r="72" spans="1:20" s="6" customFormat="1" ht="161.4" customHeight="1">
      <c r="A72" s="52" t="s">
        <v>521</v>
      </c>
      <c r="B72" s="52" t="s">
        <v>522</v>
      </c>
      <c r="C72" s="52" t="s">
        <v>73</v>
      </c>
      <c r="D72" s="54" t="s">
        <v>523</v>
      </c>
      <c r="E72" s="83"/>
      <c r="F72" s="86">
        <f t="shared" si="11"/>
        <v>0</v>
      </c>
      <c r="G72" s="86"/>
      <c r="H72" s="87"/>
      <c r="I72" s="87"/>
      <c r="J72" s="87"/>
      <c r="K72" s="86"/>
      <c r="L72" s="86"/>
      <c r="M72" s="87"/>
      <c r="N72" s="86"/>
      <c r="O72" s="87"/>
      <c r="P72" s="87"/>
      <c r="Q72" s="63"/>
      <c r="T72" s="14"/>
    </row>
    <row r="73" spans="1:20" s="6" customFormat="1" ht="148.80000000000001" customHeight="1">
      <c r="A73" s="52" t="s">
        <v>525</v>
      </c>
      <c r="B73" s="52" t="s">
        <v>524</v>
      </c>
      <c r="C73" s="52" t="s">
        <v>73</v>
      </c>
      <c r="D73" s="54" t="s">
        <v>526</v>
      </c>
      <c r="E73" s="83"/>
      <c r="F73" s="86">
        <f t="shared" si="11"/>
        <v>0</v>
      </c>
      <c r="G73" s="86"/>
      <c r="H73" s="87"/>
      <c r="I73" s="87"/>
      <c r="J73" s="87"/>
      <c r="K73" s="86"/>
      <c r="L73" s="86"/>
      <c r="M73" s="87"/>
      <c r="N73" s="86"/>
      <c r="O73" s="87"/>
      <c r="P73" s="87"/>
      <c r="Q73" s="63"/>
      <c r="T73" s="14"/>
    </row>
    <row r="74" spans="1:20" s="6" customFormat="1" ht="115.8" customHeight="1">
      <c r="A74" s="52" t="s">
        <v>529</v>
      </c>
      <c r="B74" s="52" t="s">
        <v>527</v>
      </c>
      <c r="C74" s="52" t="s">
        <v>73</v>
      </c>
      <c r="D74" s="114" t="s">
        <v>528</v>
      </c>
      <c r="E74" s="83"/>
      <c r="F74" s="86">
        <f t="shared" si="11"/>
        <v>0</v>
      </c>
      <c r="G74" s="86"/>
      <c r="H74" s="87"/>
      <c r="I74" s="87"/>
      <c r="J74" s="87"/>
      <c r="K74" s="86"/>
      <c r="L74" s="86"/>
      <c r="M74" s="87"/>
      <c r="N74" s="86"/>
      <c r="O74" s="87"/>
      <c r="P74" s="87"/>
      <c r="Q74" s="63"/>
      <c r="T74" s="14"/>
    </row>
    <row r="75" spans="1:20" s="6" customFormat="1" ht="130.80000000000001" customHeight="1">
      <c r="A75" s="52" t="s">
        <v>530</v>
      </c>
      <c r="B75" s="52" t="s">
        <v>532</v>
      </c>
      <c r="C75" s="52" t="s">
        <v>73</v>
      </c>
      <c r="D75" s="114" t="s">
        <v>531</v>
      </c>
      <c r="E75" s="83"/>
      <c r="F75" s="86">
        <f t="shared" ref="F75:F81" si="13">G75</f>
        <v>0</v>
      </c>
      <c r="G75" s="86"/>
      <c r="H75" s="87"/>
      <c r="I75" s="87"/>
      <c r="J75" s="87"/>
      <c r="K75" s="86"/>
      <c r="L75" s="86"/>
      <c r="M75" s="87"/>
      <c r="N75" s="86"/>
      <c r="O75" s="87"/>
      <c r="P75" s="87"/>
      <c r="Q75" s="63"/>
      <c r="T75" s="14"/>
    </row>
    <row r="76" spans="1:20" s="6" customFormat="1" ht="40.799999999999997" customHeight="1">
      <c r="A76" s="52" t="s">
        <v>311</v>
      </c>
      <c r="B76" s="52" t="s">
        <v>344</v>
      </c>
      <c r="C76" s="52" t="s">
        <v>67</v>
      </c>
      <c r="D76" s="114" t="s">
        <v>112</v>
      </c>
      <c r="E76" s="83"/>
      <c r="F76" s="86">
        <f t="shared" si="13"/>
        <v>0</v>
      </c>
      <c r="G76" s="86"/>
      <c r="H76" s="87"/>
      <c r="I76" s="87"/>
      <c r="J76" s="87"/>
      <c r="K76" s="86"/>
      <c r="L76" s="86"/>
      <c r="M76" s="87"/>
      <c r="N76" s="86"/>
      <c r="O76" s="87"/>
      <c r="P76" s="87"/>
      <c r="Q76" s="63"/>
      <c r="T76" s="14"/>
    </row>
    <row r="77" spans="1:20" s="6" customFormat="1" ht="40.799999999999997" customHeight="1">
      <c r="A77" s="52" t="s">
        <v>265</v>
      </c>
      <c r="B77" s="52" t="s">
        <v>355</v>
      </c>
      <c r="C77" s="52" t="s">
        <v>80</v>
      </c>
      <c r="D77" s="114" t="s">
        <v>533</v>
      </c>
      <c r="E77" s="83"/>
      <c r="F77" s="86">
        <f t="shared" si="13"/>
        <v>0</v>
      </c>
      <c r="G77" s="86"/>
      <c r="H77" s="87"/>
      <c r="I77" s="87"/>
      <c r="J77" s="87"/>
      <c r="K77" s="86"/>
      <c r="L77" s="86"/>
      <c r="M77" s="87"/>
      <c r="N77" s="86"/>
      <c r="O77" s="87"/>
      <c r="P77" s="87"/>
      <c r="Q77" s="63"/>
      <c r="T77" s="14"/>
    </row>
    <row r="78" spans="1:20" s="6" customFormat="1" ht="75.599999999999994" customHeight="1">
      <c r="A78" s="52" t="s">
        <v>264</v>
      </c>
      <c r="B78" s="52" t="s">
        <v>345</v>
      </c>
      <c r="C78" s="52" t="s">
        <v>201</v>
      </c>
      <c r="D78" s="55" t="s">
        <v>449</v>
      </c>
      <c r="E78" s="83"/>
      <c r="F78" s="86">
        <f t="shared" si="13"/>
        <v>0</v>
      </c>
      <c r="G78" s="86"/>
      <c r="H78" s="87"/>
      <c r="I78" s="87"/>
      <c r="J78" s="87"/>
      <c r="K78" s="86">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3"/>
        <v>0</v>
      </c>
      <c r="G79" s="86"/>
      <c r="H79" s="87"/>
      <c r="I79" s="87"/>
      <c r="J79" s="87"/>
      <c r="K79" s="86">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3"/>
        <v>608900</v>
      </c>
      <c r="G80" s="86">
        <f>608900</f>
        <v>608900</v>
      </c>
      <c r="H80" s="90"/>
      <c r="I80" s="90"/>
      <c r="J80" s="90"/>
      <c r="K80" s="86">
        <f t="shared" si="8"/>
        <v>220400</v>
      </c>
      <c r="L80" s="89">
        <f>220400</f>
        <v>220400</v>
      </c>
      <c r="M80" s="89"/>
      <c r="N80" s="89"/>
      <c r="O80" s="90"/>
      <c r="P80" s="90">
        <f>L80</f>
        <v>220400</v>
      </c>
      <c r="Q80" s="63">
        <f>F80+K80</f>
        <v>829300</v>
      </c>
      <c r="T80" s="14"/>
    </row>
    <row r="81" spans="1:20" s="6" customFormat="1" ht="55.2" customHeight="1">
      <c r="A81" s="73" t="s">
        <v>276</v>
      </c>
      <c r="B81" s="52" t="s">
        <v>347</v>
      </c>
      <c r="C81" s="73" t="s">
        <v>83</v>
      </c>
      <c r="D81" s="112" t="s">
        <v>137</v>
      </c>
      <c r="E81" s="118"/>
      <c r="F81" s="86">
        <f t="shared" si="13"/>
        <v>0</v>
      </c>
      <c r="G81" s="86"/>
      <c r="H81" s="87"/>
      <c r="I81" s="87"/>
      <c r="J81" s="87"/>
      <c r="K81" s="86">
        <f t="shared" si="8"/>
        <v>1240000</v>
      </c>
      <c r="L81" s="86">
        <v>1240000</v>
      </c>
      <c r="M81" s="87"/>
      <c r="N81" s="86"/>
      <c r="O81" s="87"/>
      <c r="P81" s="87">
        <f>L81</f>
        <v>1240000</v>
      </c>
      <c r="Q81" s="63">
        <f t="shared" si="1"/>
        <v>1240000</v>
      </c>
      <c r="T81" s="14"/>
    </row>
    <row r="82" spans="1:20" s="6" customFormat="1" ht="51" hidden="1" customHeight="1">
      <c r="A82" s="52" t="s">
        <v>324</v>
      </c>
      <c r="B82" s="52" t="s">
        <v>350</v>
      </c>
      <c r="C82" s="52" t="s">
        <v>68</v>
      </c>
      <c r="D82" s="28" t="s">
        <v>254</v>
      </c>
      <c r="E82" s="4"/>
      <c r="F82" s="49">
        <f t="shared" si="3"/>
        <v>0</v>
      </c>
      <c r="G82" s="86"/>
      <c r="H82" s="87"/>
      <c r="I82" s="87"/>
      <c r="J82" s="87"/>
      <c r="K82" s="86">
        <f t="shared" si="8"/>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31116749</v>
      </c>
      <c r="G83" s="59">
        <f t="shared" ref="G83:P83" si="14">G84</f>
        <v>31116749</v>
      </c>
      <c r="H83" s="59">
        <f t="shared" si="14"/>
        <v>21210690</v>
      </c>
      <c r="I83" s="59">
        <f t="shared" si="14"/>
        <v>663720</v>
      </c>
      <c r="J83" s="59">
        <f t="shared" si="14"/>
        <v>0</v>
      </c>
      <c r="K83" s="59">
        <f t="shared" si="14"/>
        <v>645740</v>
      </c>
      <c r="L83" s="59">
        <f t="shared" si="14"/>
        <v>429300</v>
      </c>
      <c r="M83" s="59">
        <f t="shared" si="14"/>
        <v>216440</v>
      </c>
      <c r="N83" s="59">
        <f t="shared" si="14"/>
        <v>158390</v>
      </c>
      <c r="O83" s="59">
        <f t="shared" si="14"/>
        <v>0</v>
      </c>
      <c r="P83" s="59">
        <f t="shared" si="14"/>
        <v>429300</v>
      </c>
      <c r="Q83" s="59">
        <f t="shared" si="1"/>
        <v>31762489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31116749</v>
      </c>
      <c r="G84" s="63">
        <f>G85+G86+G87+G88+G89+G90+G91+G92+G93+G94+G95+G104+G106+G107+G108+G109+G110+G111+G112+G113+G114+G115+G116+G117+G121+G120+G118+G119</f>
        <v>31116749</v>
      </c>
      <c r="H84" s="63">
        <f t="shared" ref="H84:P84" si="15">H85+H86+H87+H88+H89+H90+H91+H92+H93+H94+H95+H104+H106+H107+H108+H109+H110+H111+H112+H113+H114+H115+H116+H117+H121+H120+H118+H119</f>
        <v>21210690</v>
      </c>
      <c r="I84" s="63">
        <f t="shared" si="15"/>
        <v>663720</v>
      </c>
      <c r="J84" s="63">
        <f t="shared" si="15"/>
        <v>0</v>
      </c>
      <c r="K84" s="63">
        <f>M84+P84</f>
        <v>645740</v>
      </c>
      <c r="L84" s="63">
        <f t="shared" si="15"/>
        <v>429300</v>
      </c>
      <c r="M84" s="63">
        <f t="shared" si="15"/>
        <v>216440</v>
      </c>
      <c r="N84" s="63">
        <f t="shared" si="15"/>
        <v>158390</v>
      </c>
      <c r="O84" s="63">
        <f t="shared" si="15"/>
        <v>0</v>
      </c>
      <c r="P84" s="63">
        <f t="shared" si="15"/>
        <v>429300</v>
      </c>
      <c r="Q84" s="63">
        <f t="shared" ref="Q84" si="16">Q85+Q86+Q87+Q88+Q89+Q90+Q91+Q92+Q93+Q94+Q95+Q104+Q106+Q107+Q108+Q109+Q110+Q111+Q112+Q113+Q114+Q115+Q116+Q117+Q121+Q120+Q118</f>
        <v>31353489</v>
      </c>
      <c r="T84" s="16"/>
    </row>
    <row r="85" spans="1:20" s="6" customFormat="1" ht="82.2" customHeight="1">
      <c r="A85" s="52" t="s">
        <v>154</v>
      </c>
      <c r="B85" s="52" t="s">
        <v>326</v>
      </c>
      <c r="C85" s="52" t="s">
        <v>58</v>
      </c>
      <c r="D85" s="110" t="s">
        <v>477</v>
      </c>
      <c r="E85" s="83" t="s">
        <v>2</v>
      </c>
      <c r="F85" s="86">
        <f t="shared" si="3"/>
        <v>16344920</v>
      </c>
      <c r="G85" s="87">
        <f>16054120+200000+90800</f>
        <v>16344920</v>
      </c>
      <c r="H85" s="87">
        <v>12665000</v>
      </c>
      <c r="I85" s="87">
        <v>276620</v>
      </c>
      <c r="J85" s="87"/>
      <c r="K85" s="87">
        <f>M85+P85</f>
        <v>0</v>
      </c>
      <c r="L85" s="87"/>
      <c r="M85" s="87"/>
      <c r="N85" s="87"/>
      <c r="O85" s="87"/>
      <c r="P85" s="87"/>
      <c r="Q85" s="87">
        <f t="shared" ref="Q85" si="17">16054120+200000+90800</f>
        <v>16344920</v>
      </c>
      <c r="T85" s="14"/>
    </row>
    <row r="86" spans="1:20" s="6" customFormat="1" ht="49.8" customHeight="1">
      <c r="A86" s="52" t="s">
        <v>174</v>
      </c>
      <c r="B86" s="52" t="s">
        <v>266</v>
      </c>
      <c r="C86" s="52" t="s">
        <v>69</v>
      </c>
      <c r="D86" s="110" t="s">
        <v>135</v>
      </c>
      <c r="E86" s="83"/>
      <c r="F86" s="86">
        <f t="shared" si="3"/>
        <v>10000</v>
      </c>
      <c r="G86" s="87">
        <f>10000</f>
        <v>10000</v>
      </c>
      <c r="H86" s="87"/>
      <c r="I86" s="87"/>
      <c r="J86" s="87"/>
      <c r="K86" s="86">
        <f t="shared" ref="K86:K94" si="18">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20"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2"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2"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8" customHeight="1">
      <c r="A93" s="52" t="s">
        <v>205</v>
      </c>
      <c r="B93" s="52" t="s">
        <v>364</v>
      </c>
      <c r="C93" s="52" t="s">
        <v>76</v>
      </c>
      <c r="D93" s="112"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2" t="s">
        <v>535</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1"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8" customHeight="1">
      <c r="A104" s="52" t="s">
        <v>161</v>
      </c>
      <c r="B104" s="52" t="s">
        <v>374</v>
      </c>
      <c r="C104" s="52" t="s">
        <v>76</v>
      </c>
      <c r="D104" s="55" t="s">
        <v>93</v>
      </c>
      <c r="E104" s="83" t="s">
        <v>55</v>
      </c>
      <c r="F104" s="86">
        <f t="shared" si="20"/>
        <v>0</v>
      </c>
      <c r="G104" s="86"/>
      <c r="H104" s="86"/>
      <c r="I104" s="86"/>
      <c r="J104" s="86"/>
      <c r="K104" s="86">
        <f t="shared" ref="K104:K110" si="24">M104+P104</f>
        <v>0</v>
      </c>
      <c r="L104" s="86"/>
      <c r="M104" s="86"/>
      <c r="N104" s="86"/>
      <c r="O104" s="86"/>
      <c r="P104" s="86"/>
      <c r="Q104" s="63">
        <f t="shared" si="22"/>
        <v>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9069300</v>
      </c>
      <c r="G112" s="86">
        <f>9069300</f>
        <v>9069300</v>
      </c>
      <c r="H112" s="87">
        <v>7045900</v>
      </c>
      <c r="I112" s="87">
        <v>216500</v>
      </c>
      <c r="J112" s="87"/>
      <c r="K112" s="86">
        <f t="shared" si="23"/>
        <v>216440</v>
      </c>
      <c r="L112" s="86"/>
      <c r="M112" s="87">
        <v>216440</v>
      </c>
      <c r="N112" s="86">
        <v>158390</v>
      </c>
      <c r="O112" s="87"/>
      <c r="P112" s="87"/>
      <c r="Q112" s="63">
        <f t="shared" si="22"/>
        <v>9285740</v>
      </c>
      <c r="T112" s="14"/>
    </row>
    <row r="113" spans="1:20" s="6" customFormat="1" ht="54" customHeight="1">
      <c r="A113" s="52" t="s">
        <v>172</v>
      </c>
      <c r="B113" s="52" t="s">
        <v>383</v>
      </c>
      <c r="C113" s="52" t="s">
        <v>78</v>
      </c>
      <c r="D113" s="55" t="s">
        <v>218</v>
      </c>
      <c r="E113" s="113" t="s">
        <v>26</v>
      </c>
      <c r="F113" s="86">
        <f t="shared" si="25"/>
        <v>1969100</v>
      </c>
      <c r="G113" s="86">
        <v>1969100</v>
      </c>
      <c r="H113" s="87">
        <v>1387290</v>
      </c>
      <c r="I113" s="87">
        <v>170600</v>
      </c>
      <c r="J113" s="87"/>
      <c r="K113" s="86">
        <f t="shared" si="23"/>
        <v>0</v>
      </c>
      <c r="L113" s="86"/>
      <c r="M113" s="87"/>
      <c r="N113" s="86"/>
      <c r="O113" s="87"/>
      <c r="P113" s="87"/>
      <c r="Q113" s="63">
        <f t="shared" si="22"/>
        <v>1969100</v>
      </c>
      <c r="T113" s="14"/>
    </row>
    <row r="114" spans="1:20" s="6" customFormat="1" ht="174" customHeight="1">
      <c r="A114" s="52" t="s">
        <v>246</v>
      </c>
      <c r="B114" s="52" t="s">
        <v>384</v>
      </c>
      <c r="C114" s="52" t="s">
        <v>78</v>
      </c>
      <c r="D114" s="121" t="s">
        <v>247</v>
      </c>
      <c r="E114" s="113"/>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80000000000001"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536</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2" t="s">
        <v>215</v>
      </c>
      <c r="E118" s="116"/>
      <c r="F118" s="86">
        <f>G118+J118</f>
        <v>271479</v>
      </c>
      <c r="G118" s="89">
        <f>150000+121479</f>
        <v>271479</v>
      </c>
      <c r="H118" s="90"/>
      <c r="I118" s="90"/>
      <c r="J118" s="90"/>
      <c r="K118" s="86"/>
      <c r="L118" s="89"/>
      <c r="M118" s="90"/>
      <c r="N118" s="89"/>
      <c r="O118" s="90"/>
      <c r="P118" s="90"/>
      <c r="Q118" s="63">
        <f t="shared" si="22"/>
        <v>271479</v>
      </c>
      <c r="T118" s="14"/>
    </row>
    <row r="119" spans="1:20" s="6" customFormat="1" ht="85.8" customHeight="1">
      <c r="A119" s="52" t="s">
        <v>458</v>
      </c>
      <c r="B119" s="52" t="s">
        <v>459</v>
      </c>
      <c r="C119" s="52" t="s">
        <v>80</v>
      </c>
      <c r="D119" s="112" t="s">
        <v>460</v>
      </c>
      <c r="E119" s="116"/>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8" customHeight="1">
      <c r="A120" s="52" t="s">
        <v>431</v>
      </c>
      <c r="B120" s="52" t="s">
        <v>423</v>
      </c>
      <c r="C120" s="52" t="s">
        <v>424</v>
      </c>
      <c r="D120" s="55" t="s">
        <v>425</v>
      </c>
      <c r="E120" s="116"/>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31656400</v>
      </c>
      <c r="G122" s="59">
        <f t="shared" ref="G122:P122" si="26">G123</f>
        <v>31656400</v>
      </c>
      <c r="H122" s="59">
        <f t="shared" si="26"/>
        <v>22727600</v>
      </c>
      <c r="I122" s="59">
        <f t="shared" si="26"/>
        <v>2036900</v>
      </c>
      <c r="J122" s="59">
        <f t="shared" si="26"/>
        <v>0</v>
      </c>
      <c r="K122" s="59">
        <f t="shared" si="26"/>
        <v>1080400</v>
      </c>
      <c r="L122" s="59">
        <f t="shared" si="26"/>
        <v>439400</v>
      </c>
      <c r="M122" s="59">
        <f t="shared" si="26"/>
        <v>641000</v>
      </c>
      <c r="N122" s="59">
        <f t="shared" si="26"/>
        <v>143500</v>
      </c>
      <c r="O122" s="59">
        <f t="shared" si="26"/>
        <v>0</v>
      </c>
      <c r="P122" s="59">
        <f t="shared" si="26"/>
        <v>439400</v>
      </c>
      <c r="Q122" s="59">
        <f>Q123</f>
        <v>32736800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31656400</v>
      </c>
      <c r="G123" s="63">
        <f t="shared" ref="G123:P123" si="27">SUM(G124:G134)</f>
        <v>31656400</v>
      </c>
      <c r="H123" s="63">
        <f t="shared" si="27"/>
        <v>22727600</v>
      </c>
      <c r="I123" s="63">
        <f t="shared" si="27"/>
        <v>2036900</v>
      </c>
      <c r="J123" s="63">
        <f t="shared" si="27"/>
        <v>0</v>
      </c>
      <c r="K123" s="63">
        <f t="shared" si="27"/>
        <v>1080400</v>
      </c>
      <c r="L123" s="63">
        <f t="shared" si="27"/>
        <v>439400</v>
      </c>
      <c r="M123" s="63">
        <f t="shared" si="27"/>
        <v>641000</v>
      </c>
      <c r="N123" s="63">
        <f t="shared" si="27"/>
        <v>143500</v>
      </c>
      <c r="O123" s="63">
        <f t="shared" si="27"/>
        <v>0</v>
      </c>
      <c r="P123" s="63">
        <f t="shared" si="27"/>
        <v>439400</v>
      </c>
      <c r="Q123" s="63">
        <f t="shared" ref="Q123:Q184" si="28">F123+K123</f>
        <v>32736800</v>
      </c>
      <c r="T123" s="42"/>
    </row>
    <row r="124" spans="1:20" s="18" customFormat="1" ht="85.5" customHeight="1">
      <c r="A124" s="52" t="s">
        <v>175</v>
      </c>
      <c r="B124" s="52" t="s">
        <v>326</v>
      </c>
      <c r="C124" s="52" t="s">
        <v>58</v>
      </c>
      <c r="D124" s="110" t="s">
        <v>537</v>
      </c>
      <c r="E124" s="83" t="s">
        <v>2</v>
      </c>
      <c r="F124" s="86">
        <f t="shared" ref="F124:F134" si="29">G124+J124</f>
        <v>1506600</v>
      </c>
      <c r="G124" s="86">
        <f>1505400+1200</f>
        <v>1506600</v>
      </c>
      <c r="H124" s="87">
        <v>1185200</v>
      </c>
      <c r="I124" s="87">
        <v>24400</v>
      </c>
      <c r="J124" s="87"/>
      <c r="K124" s="86">
        <f t="shared" ref="K124:K134" si="30">M124+P124</f>
        <v>0</v>
      </c>
      <c r="L124" s="86"/>
      <c r="M124" s="87"/>
      <c r="N124" s="86"/>
      <c r="O124" s="87"/>
      <c r="P124" s="87">
        <f>L124</f>
        <v>0</v>
      </c>
      <c r="Q124" s="63">
        <f t="shared" si="28"/>
        <v>1506600</v>
      </c>
      <c r="T124" s="16"/>
    </row>
    <row r="125" spans="1:20" s="18" customFormat="1" ht="54.6" customHeight="1">
      <c r="A125" s="52" t="s">
        <v>240</v>
      </c>
      <c r="B125" s="52" t="s">
        <v>266</v>
      </c>
      <c r="C125" s="52" t="s">
        <v>69</v>
      </c>
      <c r="D125" s="110"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495</v>
      </c>
      <c r="B126" s="52" t="s">
        <v>496</v>
      </c>
      <c r="C126" s="72" t="s">
        <v>72</v>
      </c>
      <c r="D126" s="114" t="s">
        <v>497</v>
      </c>
      <c r="E126" s="118"/>
      <c r="F126" s="119">
        <f>G126+J126</f>
        <v>17384600</v>
      </c>
      <c r="G126" s="86">
        <f>17361700+22900</f>
        <v>17384600</v>
      </c>
      <c r="H126" s="87">
        <v>13477300</v>
      </c>
      <c r="I126" s="87">
        <v>902900</v>
      </c>
      <c r="J126" s="87"/>
      <c r="K126" s="86">
        <f>M126+P126</f>
        <v>660000</v>
      </c>
      <c r="L126" s="86">
        <v>150000</v>
      </c>
      <c r="M126" s="87">
        <v>510000</v>
      </c>
      <c r="N126" s="86">
        <v>123000</v>
      </c>
      <c r="O126" s="87"/>
      <c r="P126" s="87">
        <f>L126</f>
        <v>150000</v>
      </c>
      <c r="Q126" s="63">
        <f>F126+K126</f>
        <v>18044600</v>
      </c>
      <c r="T126" s="16"/>
    </row>
    <row r="127" spans="1:20" s="18" customFormat="1" ht="37.200000000000003" customHeight="1">
      <c r="A127" s="52" t="s">
        <v>176</v>
      </c>
      <c r="B127" s="52" t="s">
        <v>389</v>
      </c>
      <c r="C127" s="52" t="s">
        <v>104</v>
      </c>
      <c r="D127" s="55" t="s">
        <v>177</v>
      </c>
      <c r="E127" s="83" t="s">
        <v>9</v>
      </c>
      <c r="F127" s="86">
        <f t="shared" si="29"/>
        <v>4320200</v>
      </c>
      <c r="G127" s="86">
        <f>38950+4281250</f>
        <v>4320200</v>
      </c>
      <c r="H127" s="87">
        <v>3106800</v>
      </c>
      <c r="I127" s="87">
        <v>442600</v>
      </c>
      <c r="J127" s="87"/>
      <c r="K127" s="86">
        <f t="shared" si="30"/>
        <v>65000</v>
      </c>
      <c r="L127" s="86">
        <f>49000</f>
        <v>49000</v>
      </c>
      <c r="M127" s="86">
        <v>16000</v>
      </c>
      <c r="N127" s="87"/>
      <c r="O127" s="87"/>
      <c r="P127" s="87">
        <f>L127</f>
        <v>49000</v>
      </c>
      <c r="Q127" s="63">
        <f t="shared" si="28"/>
        <v>4385200</v>
      </c>
      <c r="T127" s="16"/>
    </row>
    <row r="128" spans="1:20" s="18" customFormat="1" ht="66.599999999999994" customHeight="1">
      <c r="A128" s="52" t="s">
        <v>178</v>
      </c>
      <c r="B128" s="52" t="s">
        <v>390</v>
      </c>
      <c r="C128" s="52" t="s">
        <v>104</v>
      </c>
      <c r="D128" s="55" t="s">
        <v>179</v>
      </c>
      <c r="E128" s="83" t="s">
        <v>10</v>
      </c>
      <c r="F128" s="86">
        <f t="shared" si="29"/>
        <v>3560650</v>
      </c>
      <c r="G128" s="86">
        <f>133750+3426900</f>
        <v>3560650</v>
      </c>
      <c r="H128" s="87">
        <v>2460100</v>
      </c>
      <c r="I128" s="87">
        <v>356700</v>
      </c>
      <c r="J128" s="87"/>
      <c r="K128" s="86">
        <f t="shared" si="30"/>
        <v>70000</v>
      </c>
      <c r="L128" s="86"/>
      <c r="M128" s="86">
        <v>70000</v>
      </c>
      <c r="N128" s="87">
        <v>18000</v>
      </c>
      <c r="O128" s="87"/>
      <c r="P128" s="87"/>
      <c r="Q128" s="63">
        <f t="shared" si="28"/>
        <v>3630650</v>
      </c>
      <c r="T128" s="16"/>
    </row>
    <row r="129" spans="1:20" s="18" customFormat="1" ht="87" customHeight="1">
      <c r="A129" s="52" t="s">
        <v>181</v>
      </c>
      <c r="B129" s="52" t="s">
        <v>391</v>
      </c>
      <c r="C129" s="52" t="s">
        <v>82</v>
      </c>
      <c r="D129" s="55" t="s">
        <v>180</v>
      </c>
      <c r="E129" s="83" t="s">
        <v>11</v>
      </c>
      <c r="F129" s="86">
        <f t="shared" si="29"/>
        <v>2354300</v>
      </c>
      <c r="G129" s="86">
        <f>2200+2352100</f>
        <v>2354300</v>
      </c>
      <c r="H129" s="87">
        <v>1681900</v>
      </c>
      <c r="I129" s="87">
        <v>288200</v>
      </c>
      <c r="J129" s="87"/>
      <c r="K129" s="86">
        <f t="shared" si="30"/>
        <v>78400</v>
      </c>
      <c r="L129" s="86">
        <v>33400</v>
      </c>
      <c r="M129" s="86">
        <v>45000</v>
      </c>
      <c r="N129" s="87">
        <v>2500</v>
      </c>
      <c r="O129" s="87"/>
      <c r="P129" s="87">
        <f>L129</f>
        <v>33400</v>
      </c>
      <c r="Q129" s="63">
        <f t="shared" si="28"/>
        <v>2432700</v>
      </c>
      <c r="T129" s="16"/>
    </row>
    <row r="130" spans="1:20" s="18" customFormat="1" ht="58.2" customHeight="1">
      <c r="A130" s="52" t="s">
        <v>222</v>
      </c>
      <c r="B130" s="52" t="s">
        <v>392</v>
      </c>
      <c r="C130" s="52" t="s">
        <v>81</v>
      </c>
      <c r="D130" s="55" t="s">
        <v>223</v>
      </c>
      <c r="E130" s="83"/>
      <c r="F130" s="86">
        <f t="shared" si="29"/>
        <v>1043150</v>
      </c>
      <c r="G130" s="86">
        <f>1000+1042150</f>
        <v>1043150</v>
      </c>
      <c r="H130" s="87">
        <v>816300</v>
      </c>
      <c r="I130" s="87">
        <v>22100</v>
      </c>
      <c r="J130" s="87"/>
      <c r="K130" s="86">
        <f t="shared" si="30"/>
        <v>0</v>
      </c>
      <c r="L130" s="86"/>
      <c r="M130" s="87"/>
      <c r="N130" s="86"/>
      <c r="O130" s="87"/>
      <c r="P130" s="87"/>
      <c r="Q130" s="63">
        <f t="shared" si="28"/>
        <v>1043150</v>
      </c>
      <c r="T130" s="16"/>
    </row>
    <row r="131" spans="1:20" s="18" customFormat="1" ht="55.8" customHeight="1">
      <c r="A131" s="52" t="s">
        <v>224</v>
      </c>
      <c r="B131" s="52" t="s">
        <v>393</v>
      </c>
      <c r="C131" s="52" t="s">
        <v>81</v>
      </c>
      <c r="D131" s="55" t="s">
        <v>225</v>
      </c>
      <c r="E131" s="83"/>
      <c r="F131" s="86">
        <f t="shared" si="29"/>
        <v>1344000</v>
      </c>
      <c r="G131" s="86">
        <f>883000+61000+400000</f>
        <v>1344000</v>
      </c>
      <c r="H131" s="87"/>
      <c r="I131" s="87"/>
      <c r="J131" s="87"/>
      <c r="K131" s="86">
        <f t="shared" si="30"/>
        <v>17000</v>
      </c>
      <c r="L131" s="86">
        <f>17000</f>
        <v>17000</v>
      </c>
      <c r="M131" s="87"/>
      <c r="N131" s="86"/>
      <c r="O131" s="87"/>
      <c r="P131" s="87">
        <f>L131</f>
        <v>17000</v>
      </c>
      <c r="Q131" s="63">
        <f t="shared" si="28"/>
        <v>1361000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540</v>
      </c>
      <c r="B133" s="52" t="s">
        <v>409</v>
      </c>
      <c r="C133" s="52" t="s">
        <v>80</v>
      </c>
      <c r="D133" s="114" t="s">
        <v>541</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138900</v>
      </c>
      <c r="G134" s="89">
        <f>138900</f>
        <v>138900</v>
      </c>
      <c r="H134" s="90"/>
      <c r="I134" s="90"/>
      <c r="J134" s="90"/>
      <c r="K134" s="86">
        <f t="shared" si="30"/>
        <v>40000</v>
      </c>
      <c r="L134" s="89">
        <f>40000</f>
        <v>40000</v>
      </c>
      <c r="M134" s="89"/>
      <c r="N134" s="89"/>
      <c r="O134" s="90"/>
      <c r="P134" s="90">
        <f>L134</f>
        <v>40000</v>
      </c>
      <c r="Q134" s="63">
        <f>F134+K134</f>
        <v>178900</v>
      </c>
      <c r="T134" s="14"/>
    </row>
    <row r="135" spans="1:20" s="18" customFormat="1" ht="82.8" customHeight="1">
      <c r="A135" s="56" t="s">
        <v>146</v>
      </c>
      <c r="B135" s="56" t="s">
        <v>146</v>
      </c>
      <c r="C135" s="74"/>
      <c r="D135" s="84" t="s">
        <v>40</v>
      </c>
      <c r="E135" s="102"/>
      <c r="F135" s="59">
        <f>F136</f>
        <v>15786700</v>
      </c>
      <c r="G135" s="59">
        <f t="shared" ref="G135:P135" si="31">G136</f>
        <v>15786700</v>
      </c>
      <c r="H135" s="59">
        <f t="shared" si="31"/>
        <v>8713700</v>
      </c>
      <c r="I135" s="103">
        <f t="shared" si="31"/>
        <v>730800</v>
      </c>
      <c r="J135" s="59">
        <f t="shared" si="31"/>
        <v>0</v>
      </c>
      <c r="K135" s="59">
        <f t="shared" si="31"/>
        <v>522800</v>
      </c>
      <c r="L135" s="59">
        <f t="shared" si="31"/>
        <v>434800</v>
      </c>
      <c r="M135" s="59">
        <f t="shared" si="31"/>
        <v>88000</v>
      </c>
      <c r="N135" s="59">
        <f t="shared" si="31"/>
        <v>58000</v>
      </c>
      <c r="O135" s="59">
        <f t="shared" si="31"/>
        <v>0</v>
      </c>
      <c r="P135" s="59">
        <f t="shared" si="31"/>
        <v>434800</v>
      </c>
      <c r="Q135" s="59">
        <f t="shared" si="28"/>
        <v>16309500</v>
      </c>
      <c r="R135" s="38"/>
      <c r="T135" s="16"/>
    </row>
    <row r="136" spans="1:20" s="18" customFormat="1" ht="52.8"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15786700</v>
      </c>
      <c r="G136" s="63">
        <f t="shared" si="32"/>
        <v>15786700</v>
      </c>
      <c r="H136" s="63">
        <f t="shared" si="32"/>
        <v>8713700</v>
      </c>
      <c r="I136" s="63">
        <f t="shared" si="32"/>
        <v>730800</v>
      </c>
      <c r="J136" s="63">
        <f t="shared" si="32"/>
        <v>0</v>
      </c>
      <c r="K136" s="63">
        <f t="shared" si="32"/>
        <v>522800</v>
      </c>
      <c r="L136" s="63">
        <f t="shared" si="32"/>
        <v>434800</v>
      </c>
      <c r="M136" s="63">
        <f t="shared" si="32"/>
        <v>88000</v>
      </c>
      <c r="N136" s="63">
        <f t="shared" si="32"/>
        <v>58000</v>
      </c>
      <c r="O136" s="63">
        <f t="shared" si="32"/>
        <v>0</v>
      </c>
      <c r="P136" s="63">
        <f t="shared" si="32"/>
        <v>434800</v>
      </c>
      <c r="Q136" s="63">
        <f t="shared" si="28"/>
        <v>16309500</v>
      </c>
      <c r="T136" s="16"/>
    </row>
    <row r="137" spans="1:20" s="18" customFormat="1" ht="85.2" customHeight="1">
      <c r="A137" s="52" t="s">
        <v>148</v>
      </c>
      <c r="B137" s="52" t="s">
        <v>326</v>
      </c>
      <c r="C137" s="52" t="s">
        <v>58</v>
      </c>
      <c r="D137" s="110" t="s">
        <v>537</v>
      </c>
      <c r="E137" s="83"/>
      <c r="F137" s="86">
        <f t="shared" ref="F137:F145" si="33">G137+J137</f>
        <v>1317500</v>
      </c>
      <c r="G137" s="86">
        <f>1317000+500</f>
        <v>1317500</v>
      </c>
      <c r="H137" s="87">
        <v>1041900</v>
      </c>
      <c r="I137" s="87">
        <v>24700</v>
      </c>
      <c r="J137" s="87"/>
      <c r="K137" s="86">
        <f>M137+P137</f>
        <v>0</v>
      </c>
      <c r="L137" s="86"/>
      <c r="M137" s="87"/>
      <c r="N137" s="86"/>
      <c r="O137" s="87"/>
      <c r="P137" s="87"/>
      <c r="Q137" s="63">
        <f t="shared" si="28"/>
        <v>1317500</v>
      </c>
      <c r="T137" s="16"/>
    </row>
    <row r="138" spans="1:20" s="18" customFormat="1" ht="54.6" customHeight="1">
      <c r="A138" s="52" t="s">
        <v>287</v>
      </c>
      <c r="B138" s="52" t="s">
        <v>266</v>
      </c>
      <c r="C138" s="65" t="s">
        <v>69</v>
      </c>
      <c r="D138" s="122"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8" customHeight="1">
      <c r="A139" s="52" t="s">
        <v>198</v>
      </c>
      <c r="B139" s="52" t="s">
        <v>394</v>
      </c>
      <c r="C139" s="52" t="s">
        <v>74</v>
      </c>
      <c r="D139" s="55" t="s">
        <v>90</v>
      </c>
      <c r="E139" s="83"/>
      <c r="F139" s="86">
        <f t="shared" si="33"/>
        <v>950000</v>
      </c>
      <c r="G139" s="86">
        <v>950000</v>
      </c>
      <c r="H139" s="87"/>
      <c r="I139" s="87"/>
      <c r="J139" s="87"/>
      <c r="K139" s="86">
        <f t="shared" ref="K139:K145" si="34">M139+P139</f>
        <v>0</v>
      </c>
      <c r="L139" s="86"/>
      <c r="M139" s="87"/>
      <c r="N139" s="86"/>
      <c r="O139" s="87"/>
      <c r="P139" s="87"/>
      <c r="Q139" s="63">
        <f t="shared" si="28"/>
        <v>950000</v>
      </c>
      <c r="T139" s="16"/>
    </row>
    <row r="140" spans="1:20" s="18" customFormat="1" ht="56.4" customHeight="1">
      <c r="A140" s="52" t="s">
        <v>149</v>
      </c>
      <c r="B140" s="52" t="s">
        <v>395</v>
      </c>
      <c r="C140" s="52" t="s">
        <v>74</v>
      </c>
      <c r="D140" s="55" t="s">
        <v>91</v>
      </c>
      <c r="E140" s="83"/>
      <c r="F140" s="86">
        <f t="shared" si="33"/>
        <v>210000</v>
      </c>
      <c r="G140" s="86">
        <v>210000</v>
      </c>
      <c r="H140" s="87"/>
      <c r="I140" s="87"/>
      <c r="J140" s="87"/>
      <c r="K140" s="86">
        <f t="shared" si="34"/>
        <v>0</v>
      </c>
      <c r="L140" s="86"/>
      <c r="M140" s="87"/>
      <c r="N140" s="86"/>
      <c r="O140" s="87"/>
      <c r="P140" s="87"/>
      <c r="Q140" s="63">
        <f t="shared" si="28"/>
        <v>210000</v>
      </c>
      <c r="T140" s="16"/>
    </row>
    <row r="141" spans="1:20" s="18" customFormat="1" ht="78.599999999999994" customHeight="1">
      <c r="A141" s="52" t="s">
        <v>464</v>
      </c>
      <c r="B141" s="52" t="s">
        <v>354</v>
      </c>
      <c r="C141" s="72" t="s">
        <v>74</v>
      </c>
      <c r="D141" s="123" t="s">
        <v>89</v>
      </c>
      <c r="E141" s="83"/>
      <c r="F141" s="95">
        <f t="shared" si="33"/>
        <v>8153500</v>
      </c>
      <c r="G141" s="95">
        <f>2400+8151100</f>
        <v>8153500</v>
      </c>
      <c r="H141" s="96">
        <v>5881800</v>
      </c>
      <c r="I141" s="96">
        <v>531100</v>
      </c>
      <c r="J141" s="87"/>
      <c r="K141" s="86">
        <f t="shared" si="34"/>
        <v>0</v>
      </c>
      <c r="L141" s="86"/>
      <c r="M141" s="87"/>
      <c r="N141" s="86"/>
      <c r="O141" s="87"/>
      <c r="P141" s="87"/>
      <c r="Q141" s="100">
        <f t="shared" si="28"/>
        <v>8153500</v>
      </c>
      <c r="T141" s="16"/>
    </row>
    <row r="142" spans="1:20" s="18" customFormat="1" ht="82.8" customHeight="1">
      <c r="A142" s="52" t="s">
        <v>151</v>
      </c>
      <c r="B142" s="52" t="s">
        <v>396</v>
      </c>
      <c r="C142" s="52" t="s">
        <v>74</v>
      </c>
      <c r="D142" s="55" t="s">
        <v>92</v>
      </c>
      <c r="E142" s="83"/>
      <c r="F142" s="86">
        <f t="shared" si="33"/>
        <v>1396500</v>
      </c>
      <c r="G142" s="86">
        <f>1396500</f>
        <v>1396500</v>
      </c>
      <c r="H142" s="87"/>
      <c r="I142" s="87"/>
      <c r="J142" s="87"/>
      <c r="K142" s="86">
        <f t="shared" si="34"/>
        <v>0</v>
      </c>
      <c r="L142" s="86"/>
      <c r="M142" s="87"/>
      <c r="N142" s="86"/>
      <c r="O142" s="87"/>
      <c r="P142" s="87"/>
      <c r="Q142" s="63">
        <f t="shared" si="28"/>
        <v>1396500</v>
      </c>
      <c r="T142" s="16"/>
    </row>
    <row r="143" spans="1:20" s="18" customFormat="1" ht="112.2" customHeight="1">
      <c r="A143" s="52" t="s">
        <v>150</v>
      </c>
      <c r="B143" s="52" t="s">
        <v>397</v>
      </c>
      <c r="C143" s="52" t="s">
        <v>74</v>
      </c>
      <c r="D143" s="55" t="s">
        <v>284</v>
      </c>
      <c r="E143" s="124"/>
      <c r="F143" s="86">
        <f t="shared" si="33"/>
        <v>3727100</v>
      </c>
      <c r="G143" s="86">
        <f>47100+3680000</f>
        <v>3727100</v>
      </c>
      <c r="H143" s="87">
        <v>1790000</v>
      </c>
      <c r="I143" s="87">
        <v>175000</v>
      </c>
      <c r="J143" s="87"/>
      <c r="K143" s="86">
        <f t="shared" si="34"/>
        <v>522800</v>
      </c>
      <c r="L143" s="86">
        <f>434800</f>
        <v>434800</v>
      </c>
      <c r="M143" s="87">
        <v>88000</v>
      </c>
      <c r="N143" s="86">
        <v>58000</v>
      </c>
      <c r="O143" s="87"/>
      <c r="P143" s="87">
        <f>L143</f>
        <v>434800</v>
      </c>
      <c r="Q143" s="63">
        <f>F143+K143</f>
        <v>4249900</v>
      </c>
      <c r="T143" s="16"/>
    </row>
    <row r="144" spans="1:20" s="18" customFormat="1" ht="48.6" hidden="1" customHeight="1">
      <c r="A144" s="52" t="s">
        <v>269</v>
      </c>
      <c r="B144" s="52" t="s">
        <v>345</v>
      </c>
      <c r="C144" s="52" t="s">
        <v>201</v>
      </c>
      <c r="D144" s="55" t="s">
        <v>263</v>
      </c>
      <c r="E144" s="124"/>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4"/>
      <c r="F145" s="86">
        <f t="shared" si="33"/>
        <v>30100</v>
      </c>
      <c r="G145" s="89">
        <v>30100</v>
      </c>
      <c r="H145" s="90"/>
      <c r="I145" s="90"/>
      <c r="J145" s="90"/>
      <c r="K145" s="86">
        <f t="shared" si="34"/>
        <v>0</v>
      </c>
      <c r="L145" s="89"/>
      <c r="M145" s="89"/>
      <c r="N145" s="89"/>
      <c r="O145" s="90"/>
      <c r="P145" s="90"/>
      <c r="Q145" s="63">
        <f>F145+K145</f>
        <v>30100</v>
      </c>
      <c r="T145" s="14"/>
    </row>
    <row r="146" spans="1:20" s="18" customFormat="1" ht="79.8" customHeight="1">
      <c r="A146" s="56" t="s">
        <v>182</v>
      </c>
      <c r="B146" s="56" t="s">
        <v>182</v>
      </c>
      <c r="C146" s="56"/>
      <c r="D146" s="84" t="s">
        <v>33</v>
      </c>
      <c r="E146" s="104" t="s">
        <v>33</v>
      </c>
      <c r="F146" s="59">
        <f>F147</f>
        <v>48564600</v>
      </c>
      <c r="G146" s="59">
        <f>G147</f>
        <v>48564600</v>
      </c>
      <c r="H146" s="59">
        <f>H147</f>
        <v>3800000</v>
      </c>
      <c r="I146" s="59">
        <f>I147</f>
        <v>6578300</v>
      </c>
      <c r="J146" s="59">
        <f t="shared" ref="J146:P146" si="35">J147</f>
        <v>0</v>
      </c>
      <c r="K146" s="59">
        <f t="shared" si="35"/>
        <v>59573100</v>
      </c>
      <c r="L146" s="59">
        <f t="shared" si="35"/>
        <v>58793100</v>
      </c>
      <c r="M146" s="59">
        <f t="shared" si="35"/>
        <v>710000</v>
      </c>
      <c r="N146" s="59">
        <f t="shared" si="35"/>
        <v>0</v>
      </c>
      <c r="O146" s="59">
        <f t="shared" si="35"/>
        <v>0</v>
      </c>
      <c r="P146" s="59">
        <f t="shared" si="35"/>
        <v>58863100</v>
      </c>
      <c r="Q146" s="59">
        <f t="shared" si="28"/>
        <v>108137700</v>
      </c>
      <c r="T146" s="16"/>
    </row>
    <row r="147" spans="1:20" s="19" customFormat="1" ht="79.8" customHeight="1">
      <c r="A147" s="75" t="s">
        <v>183</v>
      </c>
      <c r="B147" s="75" t="s">
        <v>183</v>
      </c>
      <c r="C147" s="73"/>
      <c r="D147" s="105" t="str">
        <f>D146</f>
        <v>Управління житлово-комунального господарства та будівництва міської ради</v>
      </c>
      <c r="E147" s="106"/>
      <c r="F147" s="107">
        <f t="shared" ref="F147:O147" si="36">SUM(F148:F183)</f>
        <v>48564600</v>
      </c>
      <c r="G147" s="107">
        <f t="shared" si="36"/>
        <v>48564600</v>
      </c>
      <c r="H147" s="107">
        <f t="shared" si="36"/>
        <v>3800000</v>
      </c>
      <c r="I147" s="107">
        <f t="shared" si="36"/>
        <v>6578300</v>
      </c>
      <c r="J147" s="107">
        <f t="shared" si="36"/>
        <v>0</v>
      </c>
      <c r="K147" s="107">
        <f>SUM(K148:K183)+K184</f>
        <v>59573100</v>
      </c>
      <c r="L147" s="107">
        <f>SUM(L148:L183)+L184</f>
        <v>58793100</v>
      </c>
      <c r="M147" s="107">
        <f t="shared" si="36"/>
        <v>710000</v>
      </c>
      <c r="N147" s="107">
        <f t="shared" si="36"/>
        <v>0</v>
      </c>
      <c r="O147" s="107">
        <f t="shared" si="36"/>
        <v>0</v>
      </c>
      <c r="P147" s="107">
        <f>SUM(P148:P183)+P184</f>
        <v>58863100</v>
      </c>
      <c r="Q147" s="63">
        <f t="shared" si="28"/>
        <v>108137700</v>
      </c>
      <c r="T147" s="20"/>
    </row>
    <row r="148" spans="1:20" s="6" customFormat="1" ht="84" customHeight="1">
      <c r="A148" s="52" t="s">
        <v>184</v>
      </c>
      <c r="B148" s="52" t="s">
        <v>326</v>
      </c>
      <c r="C148" s="52" t="s">
        <v>58</v>
      </c>
      <c r="D148" s="110" t="s">
        <v>477</v>
      </c>
      <c r="E148" s="83" t="s">
        <v>2</v>
      </c>
      <c r="F148" s="86">
        <f t="shared" ref="F148:F184" si="37">G148+J148</f>
        <v>4885300</v>
      </c>
      <c r="G148" s="86">
        <v>4885300</v>
      </c>
      <c r="H148" s="87">
        <v>3800000</v>
      </c>
      <c r="I148" s="87">
        <v>168300</v>
      </c>
      <c r="J148" s="87"/>
      <c r="K148" s="86">
        <f t="shared" ref="K148:K184" si="38">M148+P148</f>
        <v>1720000</v>
      </c>
      <c r="L148" s="86">
        <f>1500000</f>
        <v>1500000</v>
      </c>
      <c r="M148" s="96">
        <v>150000</v>
      </c>
      <c r="N148" s="86"/>
      <c r="O148" s="87"/>
      <c r="P148" s="87">
        <f>70000+1500000</f>
        <v>1570000</v>
      </c>
      <c r="Q148" s="63">
        <f t="shared" si="28"/>
        <v>6605300</v>
      </c>
      <c r="T148" s="14"/>
    </row>
    <row r="149" spans="1:20" s="6" customFormat="1" ht="51.6" customHeight="1">
      <c r="A149" s="52" t="s">
        <v>268</v>
      </c>
      <c r="B149" s="52" t="s">
        <v>266</v>
      </c>
      <c r="C149" s="52" t="s">
        <v>69</v>
      </c>
      <c r="D149" s="110"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5"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2"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2" t="s">
        <v>461</v>
      </c>
      <c r="E154" s="83"/>
      <c r="F154" s="86">
        <f t="shared" si="37"/>
        <v>0</v>
      </c>
      <c r="G154" s="86"/>
      <c r="H154" s="87"/>
      <c r="I154" s="87"/>
      <c r="J154" s="87"/>
      <c r="K154" s="86">
        <f t="shared" si="38"/>
        <v>1500000</v>
      </c>
      <c r="L154" s="86">
        <f>1500000</f>
        <v>1500000</v>
      </c>
      <c r="M154" s="87"/>
      <c r="N154" s="86"/>
      <c r="O154" s="87"/>
      <c r="P154" s="87">
        <f>L154</f>
        <v>1500000</v>
      </c>
      <c r="Q154" s="63">
        <f t="shared" si="28"/>
        <v>1500000</v>
      </c>
      <c r="T154" s="14"/>
    </row>
    <row r="155" spans="1:20" s="6" customFormat="1" ht="49.2" customHeight="1">
      <c r="A155" s="76">
        <v>1216011</v>
      </c>
      <c r="B155" s="52" t="s">
        <v>400</v>
      </c>
      <c r="C155" s="52" t="s">
        <v>295</v>
      </c>
      <c r="D155" s="112" t="s">
        <v>463</v>
      </c>
      <c r="E155" s="83"/>
      <c r="F155" s="86">
        <f t="shared" si="37"/>
        <v>0</v>
      </c>
      <c r="G155" s="86"/>
      <c r="H155" s="87"/>
      <c r="I155" s="87"/>
      <c r="J155" s="87"/>
      <c r="K155" s="86">
        <f t="shared" si="38"/>
        <v>0</v>
      </c>
      <c r="L155" s="86"/>
      <c r="M155" s="87"/>
      <c r="N155" s="86"/>
      <c r="O155" s="87"/>
      <c r="P155" s="87"/>
      <c r="Q155" s="63">
        <f t="shared" si="28"/>
        <v>0</v>
      </c>
      <c r="T155" s="14"/>
    </row>
    <row r="156" spans="1:20" s="6" customFormat="1" ht="47.4" customHeight="1">
      <c r="A156" s="76">
        <v>1216013</v>
      </c>
      <c r="B156" s="52" t="s">
        <v>401</v>
      </c>
      <c r="C156" s="52" t="s">
        <v>65</v>
      </c>
      <c r="D156" s="112"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2"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2"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6" t="s">
        <v>252</v>
      </c>
      <c r="E159" s="83"/>
      <c r="F159" s="86">
        <f t="shared" si="37"/>
        <v>0</v>
      </c>
      <c r="G159" s="86"/>
      <c r="H159" s="87"/>
      <c r="I159" s="87"/>
      <c r="J159" s="87"/>
      <c r="K159" s="86">
        <f t="shared" si="38"/>
        <v>0</v>
      </c>
      <c r="L159" s="86"/>
      <c r="M159" s="87"/>
      <c r="N159" s="86"/>
      <c r="O159" s="87"/>
      <c r="P159" s="87">
        <f>L159</f>
        <v>0</v>
      </c>
      <c r="Q159" s="63">
        <f t="shared" si="28"/>
        <v>0</v>
      </c>
      <c r="T159" s="14"/>
    </row>
    <row r="160" spans="1:20" s="6" customFormat="1" ht="51" customHeight="1">
      <c r="A160" s="52" t="s">
        <v>186</v>
      </c>
      <c r="B160" s="52" t="s">
        <v>404</v>
      </c>
      <c r="C160" s="52" t="s">
        <v>65</v>
      </c>
      <c r="D160" s="55" t="s">
        <v>187</v>
      </c>
      <c r="E160" s="83" t="s">
        <v>45</v>
      </c>
      <c r="F160" s="86">
        <f t="shared" si="37"/>
        <v>27553500</v>
      </c>
      <c r="G160" s="86">
        <f>15855000+700000+395000+10200000+403500</f>
        <v>27553500</v>
      </c>
      <c r="H160" s="87"/>
      <c r="I160" s="87">
        <v>6410000</v>
      </c>
      <c r="J160" s="87"/>
      <c r="K160" s="86">
        <f t="shared" si="38"/>
        <v>0</v>
      </c>
      <c r="L160" s="86"/>
      <c r="M160" s="87"/>
      <c r="N160" s="86"/>
      <c r="O160" s="87"/>
      <c r="P160" s="87"/>
      <c r="Q160" s="63">
        <f t="shared" si="28"/>
        <v>27553500</v>
      </c>
      <c r="T160" s="14"/>
    </row>
    <row r="161" spans="1:20" s="18" customFormat="1" ht="41.4" customHeight="1">
      <c r="A161" s="76">
        <v>1217130</v>
      </c>
      <c r="B161" s="52" t="s">
        <v>344</v>
      </c>
      <c r="C161" s="52" t="s">
        <v>67</v>
      </c>
      <c r="D161" s="127" t="s">
        <v>112</v>
      </c>
      <c r="E161" s="116"/>
      <c r="F161" s="86">
        <f t="shared" si="37"/>
        <v>20000</v>
      </c>
      <c r="G161" s="86">
        <f>20000</f>
        <v>20000</v>
      </c>
      <c r="H161" s="97"/>
      <c r="I161" s="97"/>
      <c r="J161" s="86"/>
      <c r="K161" s="86">
        <f t="shared" si="38"/>
        <v>0</v>
      </c>
      <c r="L161" s="86"/>
      <c r="M161" s="86"/>
      <c r="N161" s="86"/>
      <c r="O161" s="86"/>
      <c r="P161" s="86"/>
      <c r="Q161" s="63">
        <f t="shared" si="28"/>
        <v>20000</v>
      </c>
      <c r="T161" s="16"/>
    </row>
    <row r="162" spans="1:20" s="6" customFormat="1" ht="34.950000000000003" hidden="1" customHeight="1">
      <c r="A162" s="52" t="s">
        <v>248</v>
      </c>
      <c r="B162" s="52" t="s">
        <v>405</v>
      </c>
      <c r="C162" s="52"/>
      <c r="D162" s="121" t="s">
        <v>546</v>
      </c>
      <c r="E162" s="116"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1" t="s">
        <v>548</v>
      </c>
      <c r="E163" s="116"/>
      <c r="F163" s="86">
        <f t="shared" si="37"/>
        <v>0</v>
      </c>
      <c r="G163" s="86"/>
      <c r="H163" s="87"/>
      <c r="I163" s="87"/>
      <c r="J163" s="87"/>
      <c r="K163" s="86">
        <f t="shared" si="38"/>
        <v>1852492</v>
      </c>
      <c r="L163" s="86">
        <v>1852492</v>
      </c>
      <c r="M163" s="87"/>
      <c r="N163" s="86"/>
      <c r="O163" s="87"/>
      <c r="P163" s="87">
        <f>L163</f>
        <v>1852492</v>
      </c>
      <c r="Q163" s="63">
        <f t="shared" si="28"/>
        <v>1852492</v>
      </c>
      <c r="T163" s="14"/>
    </row>
    <row r="164" spans="1:20" s="6" customFormat="1" ht="49.2" customHeight="1">
      <c r="A164" s="52" t="s">
        <v>462</v>
      </c>
      <c r="B164" s="52" t="s">
        <v>406</v>
      </c>
      <c r="C164" s="64" t="s">
        <v>80</v>
      </c>
      <c r="D164" s="111" t="s">
        <v>444</v>
      </c>
      <c r="E164" s="116"/>
      <c r="F164" s="86"/>
      <c r="G164" s="86"/>
      <c r="H164" s="87"/>
      <c r="I164" s="87"/>
      <c r="J164" s="87"/>
      <c r="K164" s="86">
        <f t="shared" si="38"/>
        <v>170000</v>
      </c>
      <c r="L164" s="86">
        <v>170000</v>
      </c>
      <c r="M164" s="87"/>
      <c r="N164" s="86"/>
      <c r="O164" s="87"/>
      <c r="P164" s="87">
        <f>L164</f>
        <v>170000</v>
      </c>
      <c r="Q164" s="63">
        <f t="shared" si="28"/>
        <v>170000</v>
      </c>
      <c r="T164" s="14"/>
    </row>
    <row r="165" spans="1:20" s="6" customFormat="1" ht="49.2" customHeight="1">
      <c r="A165" s="52" t="s">
        <v>250</v>
      </c>
      <c r="B165" s="52" t="s">
        <v>407</v>
      </c>
      <c r="C165" s="64" t="s">
        <v>80</v>
      </c>
      <c r="D165" s="111" t="s">
        <v>549</v>
      </c>
      <c r="E165" s="116"/>
      <c r="F165" s="86">
        <f t="shared" si="37"/>
        <v>0</v>
      </c>
      <c r="G165" s="86"/>
      <c r="H165" s="87"/>
      <c r="I165" s="87"/>
      <c r="J165" s="87"/>
      <c r="K165" s="86">
        <f t="shared" si="38"/>
        <v>2900000</v>
      </c>
      <c r="L165" s="86">
        <f>1000000+1500000+400000</f>
        <v>2900000</v>
      </c>
      <c r="M165" s="87"/>
      <c r="N165" s="86"/>
      <c r="O165" s="87"/>
      <c r="P165" s="87">
        <f>L165</f>
        <v>2900000</v>
      </c>
      <c r="Q165" s="63">
        <f t="shared" si="28"/>
        <v>2900000</v>
      </c>
      <c r="T165" s="14"/>
    </row>
    <row r="166" spans="1:20" s="6" customFormat="1" ht="3" hidden="1" customHeight="1">
      <c r="A166" s="52" t="s">
        <v>250</v>
      </c>
      <c r="B166" s="52" t="s">
        <v>407</v>
      </c>
      <c r="C166" s="52" t="s">
        <v>80</v>
      </c>
      <c r="D166" s="128" t="s">
        <v>547</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1" t="s">
        <v>550</v>
      </c>
      <c r="E167" s="83"/>
      <c r="F167" s="86">
        <f t="shared" si="37"/>
        <v>0</v>
      </c>
      <c r="G167" s="86"/>
      <c r="H167" s="87"/>
      <c r="I167" s="87"/>
      <c r="J167" s="87"/>
      <c r="K167" s="86">
        <f t="shared" si="38"/>
        <v>26875082</v>
      </c>
      <c r="L167" s="86">
        <f>900807+1434557+4255139+525050+11242591+5516938+3000000</f>
        <v>26875082</v>
      </c>
      <c r="M167" s="87"/>
      <c r="N167" s="86"/>
      <c r="O167" s="87"/>
      <c r="P167" s="87">
        <f>L167</f>
        <v>26875082</v>
      </c>
      <c r="Q167" s="63">
        <f t="shared" si="28"/>
        <v>26875082</v>
      </c>
      <c r="T167" s="14"/>
    </row>
    <row r="168" spans="1:20" s="6" customFormat="1" ht="53.4" customHeight="1">
      <c r="A168" s="52" t="s">
        <v>267</v>
      </c>
      <c r="B168" s="52" t="s">
        <v>409</v>
      </c>
      <c r="C168" s="52" t="s">
        <v>80</v>
      </c>
      <c r="D168" s="111"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1"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1"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1"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1"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1" t="s">
        <v>470</v>
      </c>
      <c r="E174" s="83"/>
      <c r="F174" s="86">
        <f t="shared" si="37"/>
        <v>0</v>
      </c>
      <c r="G174" s="86"/>
      <c r="H174" s="87"/>
      <c r="I174" s="87"/>
      <c r="J174" s="87"/>
      <c r="K174" s="86">
        <f>M174+P174</f>
        <v>4422935</v>
      </c>
      <c r="L174" s="86">
        <v>4422935</v>
      </c>
      <c r="M174" s="87"/>
      <c r="N174" s="86"/>
      <c r="O174" s="87"/>
      <c r="P174" s="87">
        <f>L174</f>
        <v>4422935</v>
      </c>
      <c r="Q174" s="63">
        <f t="shared" si="28"/>
        <v>4422935</v>
      </c>
      <c r="T174" s="14"/>
    </row>
    <row r="175" spans="1:20" s="6" customFormat="1" ht="78" customHeight="1">
      <c r="A175" s="52" t="s">
        <v>258</v>
      </c>
      <c r="B175" s="52" t="s">
        <v>413</v>
      </c>
      <c r="C175" s="52" t="s">
        <v>245</v>
      </c>
      <c r="D175" s="128" t="s">
        <v>257</v>
      </c>
      <c r="E175" s="83"/>
      <c r="F175" s="86">
        <f t="shared" si="37"/>
        <v>14750000</v>
      </c>
      <c r="G175" s="86">
        <v>14750000</v>
      </c>
      <c r="H175" s="87"/>
      <c r="I175" s="87"/>
      <c r="J175" s="87"/>
      <c r="K175" s="86">
        <f t="shared" si="38"/>
        <v>15857591</v>
      </c>
      <c r="L175" s="86">
        <f>15857591</f>
        <v>15857591</v>
      </c>
      <c r="M175" s="87"/>
      <c r="N175" s="86"/>
      <c r="O175" s="87"/>
      <c r="P175" s="87">
        <f>L175</f>
        <v>15857591</v>
      </c>
      <c r="Q175" s="63">
        <f t="shared" si="28"/>
        <v>30607591</v>
      </c>
      <c r="T175" s="14"/>
    </row>
    <row r="176" spans="1:20" s="6" customFormat="1" ht="50.4" customHeight="1">
      <c r="A176" s="52" t="s">
        <v>436</v>
      </c>
      <c r="B176" s="52" t="s">
        <v>423</v>
      </c>
      <c r="C176" s="52" t="s">
        <v>424</v>
      </c>
      <c r="D176" s="55" t="s">
        <v>425</v>
      </c>
      <c r="E176" s="116"/>
      <c r="F176" s="86">
        <f t="shared" si="37"/>
        <v>55000</v>
      </c>
      <c r="G176" s="89">
        <f>55000</f>
        <v>55000</v>
      </c>
      <c r="H176" s="90"/>
      <c r="I176" s="90"/>
      <c r="J176" s="90"/>
      <c r="K176" s="86">
        <f t="shared" si="38"/>
        <v>0</v>
      </c>
      <c r="L176" s="89"/>
      <c r="M176" s="89"/>
      <c r="N176" s="89"/>
      <c r="O176" s="90"/>
      <c r="P176" s="90"/>
      <c r="Q176" s="63">
        <f>F176+K176</f>
        <v>55000</v>
      </c>
      <c r="T176" s="14"/>
    </row>
    <row r="177" spans="1:20" s="6" customFormat="1" ht="42" customHeight="1">
      <c r="A177" s="52" t="s">
        <v>437</v>
      </c>
      <c r="B177" s="52" t="s">
        <v>347</v>
      </c>
      <c r="C177" s="52" t="s">
        <v>83</v>
      </c>
      <c r="D177" s="55" t="s">
        <v>137</v>
      </c>
      <c r="E177" s="83"/>
      <c r="F177" s="86">
        <f t="shared" si="37"/>
        <v>50000</v>
      </c>
      <c r="G177" s="86">
        <v>50000</v>
      </c>
      <c r="H177" s="87"/>
      <c r="I177" s="87"/>
      <c r="J177" s="87"/>
      <c r="K177" s="86">
        <f t="shared" si="38"/>
        <v>0</v>
      </c>
      <c r="L177" s="86"/>
      <c r="M177" s="87"/>
      <c r="N177" s="86"/>
      <c r="O177" s="87"/>
      <c r="P177" s="87"/>
      <c r="Q177" s="63">
        <f t="shared" si="28"/>
        <v>50000</v>
      </c>
      <c r="T177" s="14"/>
    </row>
    <row r="178" spans="1:20" s="6" customFormat="1" ht="42.6" customHeight="1">
      <c r="A178" s="52" t="s">
        <v>242</v>
      </c>
      <c r="B178" s="52" t="s">
        <v>348</v>
      </c>
      <c r="C178" s="52" t="s">
        <v>201</v>
      </c>
      <c r="D178" s="55" t="s">
        <v>286</v>
      </c>
      <c r="E178" s="83"/>
      <c r="F178" s="86">
        <f t="shared" si="37"/>
        <v>0</v>
      </c>
      <c r="G178" s="86"/>
      <c r="H178" s="87"/>
      <c r="I178" s="87"/>
      <c r="J178" s="87"/>
      <c r="K178" s="86">
        <f>M178+P178</f>
        <v>3565000</v>
      </c>
      <c r="L178" s="86">
        <f>3565000</f>
        <v>3565000</v>
      </c>
      <c r="M178" s="87"/>
      <c r="N178" s="86"/>
      <c r="O178" s="87"/>
      <c r="P178" s="87">
        <f>L178</f>
        <v>3565000</v>
      </c>
      <c r="Q178" s="63">
        <f>F178+K178</f>
        <v>3565000</v>
      </c>
      <c r="T178" s="14"/>
    </row>
    <row r="179" spans="1:20" s="6" customFormat="1" ht="53.4" customHeight="1">
      <c r="A179" s="52" t="s">
        <v>451</v>
      </c>
      <c r="B179" s="52" t="s">
        <v>452</v>
      </c>
      <c r="C179" s="52" t="s">
        <v>201</v>
      </c>
      <c r="D179" s="55" t="s">
        <v>453</v>
      </c>
      <c r="E179" s="83"/>
      <c r="F179" s="86">
        <f>G179+J179</f>
        <v>0</v>
      </c>
      <c r="G179" s="86"/>
      <c r="H179" s="87"/>
      <c r="I179" s="87"/>
      <c r="J179" s="87"/>
      <c r="K179" s="86">
        <v>0</v>
      </c>
      <c r="L179" s="86"/>
      <c r="M179" s="87"/>
      <c r="N179" s="86"/>
      <c r="O179" s="87"/>
      <c r="P179" s="87"/>
      <c r="Q179" s="63">
        <f>F179+K179</f>
        <v>0</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5"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560000</v>
      </c>
      <c r="L183" s="86"/>
      <c r="M183" s="87">
        <v>560000</v>
      </c>
      <c r="N183" s="86"/>
      <c r="O183" s="87"/>
      <c r="P183" s="87"/>
      <c r="Q183" s="63">
        <f t="shared" si="28"/>
        <v>560000</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8" t="s">
        <v>448</v>
      </c>
      <c r="E185" s="66"/>
      <c r="F185" s="59">
        <f>F186</f>
        <v>4788800</v>
      </c>
      <c r="G185" s="59">
        <f t="shared" ref="G185:P185" si="40">G186</f>
        <v>4788800</v>
      </c>
      <c r="H185" s="59">
        <f t="shared" si="40"/>
        <v>2724600</v>
      </c>
      <c r="I185" s="59">
        <f t="shared" si="40"/>
        <v>96800</v>
      </c>
      <c r="J185" s="59">
        <f t="shared" si="40"/>
        <v>0</v>
      </c>
      <c r="K185" s="59">
        <f t="shared" si="40"/>
        <v>130000</v>
      </c>
      <c r="L185" s="59">
        <f t="shared" si="40"/>
        <v>130000</v>
      </c>
      <c r="M185" s="59">
        <f t="shared" si="40"/>
        <v>0</v>
      </c>
      <c r="N185" s="59">
        <f t="shared" si="40"/>
        <v>0</v>
      </c>
      <c r="O185" s="59">
        <f t="shared" si="40"/>
        <v>0</v>
      </c>
      <c r="P185" s="59">
        <f t="shared" si="40"/>
        <v>130000</v>
      </c>
      <c r="Q185" s="59">
        <f>F185+K185</f>
        <v>4918800</v>
      </c>
      <c r="T185" s="14"/>
    </row>
    <row r="186" spans="1:20" s="6" customFormat="1" ht="58.8" customHeight="1">
      <c r="A186" s="60" t="s">
        <v>315</v>
      </c>
      <c r="B186" s="79">
        <v>3110000</v>
      </c>
      <c r="C186" s="60"/>
      <c r="D186" s="109" t="str">
        <f>D185</f>
        <v>Управління комунального майна  та земельних відносин</v>
      </c>
      <c r="E186" s="67"/>
      <c r="F186" s="63">
        <f>SUM(F187:F193)</f>
        <v>4788800</v>
      </c>
      <c r="G186" s="63">
        <f t="shared" ref="G186:P186" si="41">SUM(G187:G193)</f>
        <v>4788800</v>
      </c>
      <c r="H186" s="63">
        <f t="shared" si="41"/>
        <v>2724600</v>
      </c>
      <c r="I186" s="63">
        <f t="shared" si="41"/>
        <v>96800</v>
      </c>
      <c r="J186" s="63">
        <f t="shared" si="41"/>
        <v>0</v>
      </c>
      <c r="K186" s="63">
        <f t="shared" si="41"/>
        <v>130000</v>
      </c>
      <c r="L186" s="63">
        <f t="shared" si="41"/>
        <v>130000</v>
      </c>
      <c r="M186" s="63">
        <f t="shared" si="41"/>
        <v>0</v>
      </c>
      <c r="N186" s="63">
        <f t="shared" si="41"/>
        <v>0</v>
      </c>
      <c r="O186" s="63">
        <f t="shared" si="41"/>
        <v>0</v>
      </c>
      <c r="P186" s="63">
        <f t="shared" si="41"/>
        <v>130000</v>
      </c>
      <c r="Q186" s="63">
        <f t="shared" ref="Q186:Q203" si="42">F186+K186</f>
        <v>4918800</v>
      </c>
      <c r="T186" s="14"/>
    </row>
    <row r="187" spans="1:20" s="6" customFormat="1" ht="73.95" customHeight="1">
      <c r="A187" s="52" t="s">
        <v>316</v>
      </c>
      <c r="B187" s="52" t="s">
        <v>326</v>
      </c>
      <c r="C187" s="52" t="s">
        <v>58</v>
      </c>
      <c r="D187" s="110" t="s">
        <v>478</v>
      </c>
      <c r="E187" s="83"/>
      <c r="F187" s="86">
        <f>G187</f>
        <v>3548800</v>
      </c>
      <c r="G187" s="86">
        <v>3548800</v>
      </c>
      <c r="H187" s="87">
        <v>2724600</v>
      </c>
      <c r="I187" s="87">
        <v>96800</v>
      </c>
      <c r="J187" s="87"/>
      <c r="K187" s="86">
        <f t="shared" ref="K187:K193" si="43">M187+P187</f>
        <v>30000</v>
      </c>
      <c r="L187" s="86">
        <f>30000</f>
        <v>30000</v>
      </c>
      <c r="M187" s="87"/>
      <c r="N187" s="86"/>
      <c r="O187" s="87"/>
      <c r="P187" s="87">
        <f>L187</f>
        <v>30000</v>
      </c>
      <c r="Q187" s="63">
        <f t="shared" si="42"/>
        <v>3578800</v>
      </c>
      <c r="T187" s="14"/>
    </row>
    <row r="188" spans="1:20" s="6" customFormat="1" ht="46.95" customHeight="1">
      <c r="A188" s="52" t="s">
        <v>317</v>
      </c>
      <c r="B188" s="52" t="s">
        <v>266</v>
      </c>
      <c r="C188" s="52" t="s">
        <v>69</v>
      </c>
      <c r="D188" s="110" t="s">
        <v>135</v>
      </c>
      <c r="E188" s="83"/>
      <c r="F188" s="86">
        <f>G188</f>
        <v>70000</v>
      </c>
      <c r="G188" s="86">
        <f>40000+30000</f>
        <v>70000</v>
      </c>
      <c r="H188" s="87"/>
      <c r="I188" s="87"/>
      <c r="J188" s="87"/>
      <c r="K188" s="86">
        <f t="shared" si="43"/>
        <v>0</v>
      </c>
      <c r="L188" s="86"/>
      <c r="M188" s="87"/>
      <c r="N188" s="86"/>
      <c r="O188" s="87"/>
      <c r="P188" s="87"/>
      <c r="Q188" s="63">
        <f t="shared" si="42"/>
        <v>70000</v>
      </c>
      <c r="T188" s="14"/>
    </row>
    <row r="189" spans="1:20" s="6" customFormat="1" ht="29.4" customHeight="1">
      <c r="A189" s="52" t="s">
        <v>318</v>
      </c>
      <c r="B189" s="52" t="s">
        <v>344</v>
      </c>
      <c r="C189" s="52" t="s">
        <v>67</v>
      </c>
      <c r="D189" s="127" t="s">
        <v>112</v>
      </c>
      <c r="E189" s="83"/>
      <c r="F189" s="86">
        <f>G189</f>
        <v>1080000</v>
      </c>
      <c r="G189" s="86">
        <f>1080000</f>
        <v>1080000</v>
      </c>
      <c r="H189" s="87"/>
      <c r="I189" s="87"/>
      <c r="J189" s="87"/>
      <c r="K189" s="86">
        <f t="shared" si="43"/>
        <v>0</v>
      </c>
      <c r="L189" s="86"/>
      <c r="M189" s="87"/>
      <c r="N189" s="86"/>
      <c r="O189" s="87"/>
      <c r="P189" s="87"/>
      <c r="Q189" s="63">
        <f t="shared" si="42"/>
        <v>1080000</v>
      </c>
      <c r="T189" s="14"/>
    </row>
    <row r="190" spans="1:20" s="6" customFormat="1" ht="45" customHeight="1">
      <c r="A190" s="52" t="s">
        <v>319</v>
      </c>
      <c r="B190" s="52" t="s">
        <v>415</v>
      </c>
      <c r="C190" s="52" t="s">
        <v>201</v>
      </c>
      <c r="D190" s="112"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9"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3">
        <f>F195</f>
        <v>18321241.240000002</v>
      </c>
      <c r="G194" s="103">
        <f t="shared" ref="G194:P194" si="44">G195</f>
        <v>5768345</v>
      </c>
      <c r="H194" s="59">
        <f t="shared" si="44"/>
        <v>4155700</v>
      </c>
      <c r="I194" s="59">
        <f t="shared" si="44"/>
        <v>81000</v>
      </c>
      <c r="J194" s="59">
        <f t="shared" si="44"/>
        <v>0</v>
      </c>
      <c r="K194" s="59">
        <f t="shared" si="44"/>
        <v>50000</v>
      </c>
      <c r="L194" s="59">
        <f t="shared" si="44"/>
        <v>50000</v>
      </c>
      <c r="M194" s="59">
        <f t="shared" si="44"/>
        <v>0</v>
      </c>
      <c r="N194" s="59">
        <f t="shared" si="44"/>
        <v>0</v>
      </c>
      <c r="O194" s="59">
        <f t="shared" si="44"/>
        <v>0</v>
      </c>
      <c r="P194" s="59">
        <f t="shared" si="44"/>
        <v>50000</v>
      </c>
      <c r="Q194" s="59">
        <f t="shared" si="42"/>
        <v>18371241.240000002</v>
      </c>
      <c r="R194" s="9"/>
      <c r="T194" s="16"/>
    </row>
    <row r="195" spans="1:20" s="18" customFormat="1" ht="60" customHeight="1">
      <c r="A195" s="60" t="s">
        <v>195</v>
      </c>
      <c r="B195" s="81">
        <v>3710000</v>
      </c>
      <c r="C195" s="67"/>
      <c r="D195" s="85" t="str">
        <f>D194</f>
        <v>Фінансове управління міської ради</v>
      </c>
      <c r="E195" s="67"/>
      <c r="F195" s="100">
        <f t="shared" ref="F195:P195" si="45">SUM(F196:F202)</f>
        <v>18321241.240000002</v>
      </c>
      <c r="G195" s="100">
        <f t="shared" si="45"/>
        <v>5768345</v>
      </c>
      <c r="H195" s="100">
        <f t="shared" si="45"/>
        <v>4155700</v>
      </c>
      <c r="I195" s="100">
        <f t="shared" si="45"/>
        <v>81000</v>
      </c>
      <c r="J195" s="100">
        <f t="shared" si="45"/>
        <v>0</v>
      </c>
      <c r="K195" s="100">
        <f t="shared" si="45"/>
        <v>50000</v>
      </c>
      <c r="L195" s="100">
        <f t="shared" si="45"/>
        <v>50000</v>
      </c>
      <c r="M195" s="100">
        <f t="shared" si="45"/>
        <v>0</v>
      </c>
      <c r="N195" s="100">
        <f t="shared" si="45"/>
        <v>0</v>
      </c>
      <c r="O195" s="100">
        <f t="shared" si="45"/>
        <v>0</v>
      </c>
      <c r="P195" s="100">
        <f t="shared" si="45"/>
        <v>50000</v>
      </c>
      <c r="Q195" s="63">
        <f t="shared" si="42"/>
        <v>18371241.240000002</v>
      </c>
      <c r="R195" s="9"/>
      <c r="T195" s="16"/>
    </row>
    <row r="196" spans="1:20" s="6" customFormat="1" ht="74.400000000000006" customHeight="1">
      <c r="A196" s="52" t="s">
        <v>196</v>
      </c>
      <c r="B196" s="52" t="s">
        <v>326</v>
      </c>
      <c r="C196" s="52" t="s">
        <v>58</v>
      </c>
      <c r="D196" s="110" t="s">
        <v>478</v>
      </c>
      <c r="E196" s="83" t="s">
        <v>2</v>
      </c>
      <c r="F196" s="86">
        <f>G196+J196</f>
        <v>5466000</v>
      </c>
      <c r="G196" s="86">
        <f>5463000+3000</f>
        <v>5466000</v>
      </c>
      <c r="H196" s="87">
        <v>4155700</v>
      </c>
      <c r="I196" s="87">
        <v>81000</v>
      </c>
      <c r="J196" s="87"/>
      <c r="K196" s="86">
        <f t="shared" ref="K196:K202" si="46">M196+P196</f>
        <v>20000</v>
      </c>
      <c r="L196" s="86">
        <f>20000</f>
        <v>20000</v>
      </c>
      <c r="M196" s="87"/>
      <c r="N196" s="86"/>
      <c r="O196" s="87"/>
      <c r="P196" s="87">
        <f>L196</f>
        <v>20000</v>
      </c>
      <c r="Q196" s="63">
        <f t="shared" si="42"/>
        <v>5486000</v>
      </c>
      <c r="T196" s="14"/>
    </row>
    <row r="197" spans="1:20" s="6" customFormat="1" ht="49.2" customHeight="1">
      <c r="A197" s="52" t="s">
        <v>241</v>
      </c>
      <c r="B197" s="52" t="s">
        <v>266</v>
      </c>
      <c r="C197" s="52" t="s">
        <v>69</v>
      </c>
      <c r="D197" s="110" t="s">
        <v>135</v>
      </c>
      <c r="E197" s="83"/>
      <c r="F197" s="86">
        <f>G197+J197</f>
        <v>500</v>
      </c>
      <c r="G197" s="86">
        <f>500</f>
        <v>500</v>
      </c>
      <c r="H197" s="87"/>
      <c r="I197" s="87"/>
      <c r="J197" s="87"/>
      <c r="K197" s="86">
        <f t="shared" si="46"/>
        <v>0</v>
      </c>
      <c r="L197" s="86"/>
      <c r="M197" s="87"/>
      <c r="N197" s="86"/>
      <c r="O197" s="87"/>
      <c r="P197" s="87"/>
      <c r="Q197" s="63">
        <f t="shared" si="42"/>
        <v>500</v>
      </c>
      <c r="T197" s="14"/>
    </row>
    <row r="198" spans="1:20" s="6" customFormat="1" ht="54" customHeight="1">
      <c r="A198" s="52" t="s">
        <v>440</v>
      </c>
      <c r="B198" s="52" t="s">
        <v>423</v>
      </c>
      <c r="C198" s="52" t="s">
        <v>424</v>
      </c>
      <c r="D198" s="55" t="s">
        <v>425</v>
      </c>
      <c r="E198" s="116"/>
      <c r="F198" s="86">
        <f>G198+J198</f>
        <v>45000</v>
      </c>
      <c r="G198" s="89">
        <v>45000</v>
      </c>
      <c r="H198" s="90"/>
      <c r="I198" s="90"/>
      <c r="J198" s="90"/>
      <c r="K198" s="86">
        <f t="shared" si="46"/>
        <v>30000</v>
      </c>
      <c r="L198" s="89">
        <f>30000</f>
        <v>30000</v>
      </c>
      <c r="M198" s="89"/>
      <c r="N198" s="89"/>
      <c r="O198" s="90"/>
      <c r="P198" s="90">
        <f>L198</f>
        <v>30000</v>
      </c>
      <c r="Q198" s="63">
        <f>F198+K198</f>
        <v>75000</v>
      </c>
      <c r="T198" s="14"/>
    </row>
    <row r="199" spans="1:20" s="6" customFormat="1" ht="48.6" hidden="1" customHeight="1">
      <c r="A199" s="52" t="s">
        <v>309</v>
      </c>
      <c r="B199" s="52" t="s">
        <v>417</v>
      </c>
      <c r="C199" s="52" t="s">
        <v>266</v>
      </c>
      <c r="D199" s="110" t="s">
        <v>310</v>
      </c>
      <c r="E199" s="83"/>
      <c r="F199" s="86">
        <f>G199+J199</f>
        <v>0</v>
      </c>
      <c r="G199" s="86"/>
      <c r="H199" s="87"/>
      <c r="I199" s="87"/>
      <c r="J199" s="98"/>
      <c r="K199" s="86"/>
      <c r="L199" s="86"/>
      <c r="M199" s="87"/>
      <c r="N199" s="86"/>
      <c r="O199" s="87"/>
      <c r="P199" s="87"/>
      <c r="Q199" s="63">
        <f t="shared" si="42"/>
        <v>0</v>
      </c>
      <c r="T199" s="14"/>
    </row>
    <row r="200" spans="1:20" s="6" customFormat="1" ht="46.95" customHeight="1">
      <c r="A200" s="52" t="s">
        <v>292</v>
      </c>
      <c r="B200" s="52" t="s">
        <v>418</v>
      </c>
      <c r="C200" s="52" t="s">
        <v>293</v>
      </c>
      <c r="D200" s="110"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538</v>
      </c>
      <c r="B201" s="52" t="s">
        <v>551</v>
      </c>
      <c r="C201" s="52" t="s">
        <v>69</v>
      </c>
      <c r="D201" s="110" t="s">
        <v>552</v>
      </c>
      <c r="E201" s="83"/>
      <c r="F201" s="86">
        <f>8686721.24+3866211-36</f>
        <v>12552896.24</v>
      </c>
      <c r="G201" s="86"/>
      <c r="H201" s="87"/>
      <c r="I201" s="87"/>
      <c r="J201" s="87"/>
      <c r="K201" s="86">
        <f t="shared" si="46"/>
        <v>0</v>
      </c>
      <c r="L201" s="86"/>
      <c r="M201" s="87"/>
      <c r="N201" s="86"/>
      <c r="O201" s="87"/>
      <c r="P201" s="87"/>
      <c r="Q201" s="63">
        <f>F201+K201</f>
        <v>12552896.24</v>
      </c>
      <c r="T201" s="14"/>
    </row>
    <row r="202" spans="1:20" s="6" customFormat="1" ht="48.6" hidden="1" customHeight="1">
      <c r="A202" s="52" t="s">
        <v>270</v>
      </c>
      <c r="B202" s="52" t="s">
        <v>419</v>
      </c>
      <c r="C202" s="52" t="s">
        <v>266</v>
      </c>
      <c r="D202" s="26" t="s">
        <v>271</v>
      </c>
      <c r="E202" s="5"/>
      <c r="F202" s="29">
        <f>G202+J202</f>
        <v>0</v>
      </c>
      <c r="G202" s="29"/>
      <c r="H202" s="34"/>
      <c r="I202" s="34"/>
      <c r="J202" s="51"/>
      <c r="K202" s="29">
        <f t="shared" si="46"/>
        <v>0</v>
      </c>
      <c r="L202" s="29"/>
      <c r="M202" s="34"/>
      <c r="N202" s="29"/>
      <c r="O202" s="34"/>
      <c r="P202" s="34"/>
      <c r="Q202" s="63">
        <f t="shared" ref="Q202" si="47">F202+K202</f>
        <v>0</v>
      </c>
      <c r="T202" s="14"/>
    </row>
    <row r="203" spans="1:20" s="9" customFormat="1" ht="68.400000000000006" customHeight="1">
      <c r="A203" s="82"/>
      <c r="B203" s="82"/>
      <c r="C203" s="82"/>
      <c r="D203" s="99" t="s">
        <v>197</v>
      </c>
      <c r="E203" s="82" t="s">
        <v>12</v>
      </c>
      <c r="F203" s="63">
        <f>F11+F48+F122+F135+F146+F194+F83+F185</f>
        <v>446792589.24000001</v>
      </c>
      <c r="G203" s="63">
        <f>G11+G48+G122+G135+G146+G194+G83+G185</f>
        <v>433539693</v>
      </c>
      <c r="H203" s="63">
        <f>H11+H48+H122+H135+H146+H194+H83+H185</f>
        <v>248293790</v>
      </c>
      <c r="I203" s="63">
        <f>I11+I48+I122+I135+I146+I194+I83+I185</f>
        <v>32005580</v>
      </c>
      <c r="J203" s="63">
        <f>J11+J48+J122+J135+J146+J194+J83</f>
        <v>700000</v>
      </c>
      <c r="K203" s="63">
        <f>M203+P203</f>
        <v>86816740</v>
      </c>
      <c r="L203" s="63">
        <f>L11+L48+L122+L135+L146+L194+L83+L185</f>
        <v>76111300</v>
      </c>
      <c r="M203" s="63">
        <f>M11+M48+M122+M135+M146+M194+M83+M185</f>
        <v>10635440</v>
      </c>
      <c r="N203" s="63">
        <f>N11+N48+N122+N135+N146+N194+N83</f>
        <v>529890</v>
      </c>
      <c r="O203" s="63">
        <f>O11+O48+O122+O135+O146+O194+O83</f>
        <v>409500</v>
      </c>
      <c r="P203" s="63">
        <f>P11+P48+P122+P135+P146+P194+P83+P185</f>
        <v>76181300</v>
      </c>
      <c r="Q203" s="63">
        <f t="shared" si="42"/>
        <v>533609329.24000001</v>
      </c>
      <c r="R203" s="47"/>
      <c r="S203" s="48"/>
      <c r="T203" s="10"/>
    </row>
    <row r="204" spans="1:20" s="9" customFormat="1" ht="68.400000000000006" customHeight="1">
      <c r="A204" s="43"/>
      <c r="B204" s="43"/>
      <c r="C204" s="43"/>
      <c r="D204" s="44"/>
      <c r="E204" s="43"/>
      <c r="F204" s="45"/>
      <c r="G204" s="45"/>
      <c r="H204" s="45"/>
      <c r="I204" s="45"/>
      <c r="J204" s="46"/>
      <c r="K204" s="45"/>
      <c r="L204" s="45"/>
      <c r="M204" s="45"/>
      <c r="N204" s="46"/>
      <c r="O204" s="46"/>
      <c r="P204" s="45"/>
      <c r="Q204" s="45"/>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27"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5.2"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34.200000000000003" customHeight="1">
      <c r="A208" s="43"/>
      <c r="B208" s="43"/>
      <c r="C208" s="43"/>
      <c r="D208" s="132" t="s">
        <v>467</v>
      </c>
      <c r="E208" s="133"/>
      <c r="F208" s="134"/>
      <c r="G208" s="134"/>
      <c r="H208" s="130"/>
      <c r="I208" s="130"/>
      <c r="J208" s="131"/>
      <c r="K208" s="130"/>
      <c r="L208" s="130"/>
      <c r="M208" s="141" t="s">
        <v>472</v>
      </c>
      <c r="N208" s="141"/>
      <c r="O208" s="141"/>
      <c r="P208" s="45"/>
      <c r="Q208" s="45"/>
      <c r="R208" s="47"/>
      <c r="S208" s="48"/>
      <c r="T208" s="10"/>
    </row>
    <row r="209" spans="1:20" s="9" customFormat="1" ht="57" customHeight="1">
      <c r="A209" s="135"/>
      <c r="B209" s="135"/>
      <c r="C209" s="135"/>
      <c r="D209" s="135"/>
      <c r="E209" s="135"/>
      <c r="F209" s="135"/>
      <c r="G209" s="135"/>
      <c r="H209" s="135"/>
      <c r="I209" s="135"/>
      <c r="J209" s="135"/>
      <c r="K209" s="135"/>
      <c r="L209" s="135"/>
      <c r="M209" s="135"/>
      <c r="N209" s="135"/>
      <c r="O209" s="135"/>
      <c r="P209" s="135"/>
      <c r="Q209" s="135"/>
      <c r="T209" s="10"/>
    </row>
    <row r="210" spans="1:20" s="21" customFormat="1" ht="21.75" customHeight="1">
      <c r="A210" s="135"/>
      <c r="B210" s="135"/>
      <c r="C210" s="135"/>
      <c r="D210" s="135"/>
      <c r="E210" s="135"/>
      <c r="F210" s="135"/>
      <c r="G210" s="135"/>
      <c r="H210" s="135"/>
      <c r="I210" s="135"/>
      <c r="J210" s="135"/>
      <c r="K210" s="135"/>
      <c r="L210" s="135"/>
      <c r="M210" s="135"/>
      <c r="N210" s="135"/>
      <c r="O210" s="135"/>
      <c r="P210" s="135"/>
      <c r="Q210" s="135"/>
      <c r="T210" s="22"/>
    </row>
    <row r="213" spans="1:20" ht="24.75" customHeight="1">
      <c r="Q213" s="50"/>
    </row>
  </sheetData>
  <mergeCells count="31">
    <mergeCell ref="M208:O208"/>
    <mergeCell ref="A4:C4"/>
    <mergeCell ref="N4:Q4"/>
    <mergeCell ref="N1:Q1"/>
    <mergeCell ref="A2:M2"/>
    <mergeCell ref="N2:Q2"/>
    <mergeCell ref="A3:M3"/>
    <mergeCell ref="N3:Q3"/>
    <mergeCell ref="M7:M9"/>
    <mergeCell ref="A5:C5"/>
    <mergeCell ref="A6:A9"/>
    <mergeCell ref="B6:B9"/>
    <mergeCell ref="C6:C9"/>
    <mergeCell ref="D6:D9"/>
    <mergeCell ref="F6:J6"/>
    <mergeCell ref="A209:Q21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2"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2020-12-23T09:47:57Z</cp:lastPrinted>
  <dcterms:created xsi:type="dcterms:W3CDTF">2002-10-09T16:25:59Z</dcterms:created>
  <dcterms:modified xsi:type="dcterms:W3CDTF">2020-12-28T06:24:36Z</dcterms:modified>
</cp:coreProperties>
</file>