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'!$E$1:$Q$213</definedName>
    <definedName name="_xlnm.Print_Titles" localSheetId="0">'дод 3 '!$6:$10</definedName>
    <definedName name="_xlnm.Print_Area" localSheetId="0">'дод 3 '!$A$1:$Q$211</definedName>
  </definedNames>
  <calcPr calcId="125725"/>
</workbook>
</file>

<file path=xl/calcChain.xml><?xml version="1.0" encoding="utf-8"?>
<calcChain xmlns="http://schemas.openxmlformats.org/spreadsheetml/2006/main">
  <c r="L166" i="5"/>
  <c r="L168"/>
  <c r="G13"/>
  <c r="F196"/>
  <c r="L179"/>
  <c r="G128"/>
  <c r="G31"/>
  <c r="J161"/>
  <c r="G161"/>
  <c r="G36"/>
  <c r="G38"/>
  <c r="G42"/>
  <c r="I13"/>
  <c r="G149"/>
  <c r="L165"/>
  <c r="F165"/>
  <c r="G95"/>
  <c r="G205"/>
  <c r="G44"/>
  <c r="G14"/>
  <c r="G17"/>
  <c r="G26"/>
  <c r="G117"/>
  <c r="G113"/>
  <c r="L161"/>
  <c r="G144"/>
  <c r="G15"/>
  <c r="L199"/>
  <c r="G199"/>
  <c r="G143"/>
  <c r="H142"/>
  <c r="G142"/>
  <c r="H131"/>
  <c r="G131"/>
  <c r="H130"/>
  <c r="G130"/>
  <c r="H129"/>
  <c r="G129"/>
  <c r="H128"/>
  <c r="H127"/>
  <c r="G127"/>
  <c r="H71"/>
  <c r="G71"/>
  <c r="H64"/>
  <c r="G64"/>
  <c r="H63"/>
  <c r="G63"/>
  <c r="H55"/>
  <c r="G55"/>
  <c r="H53"/>
  <c r="G53"/>
  <c r="H125"/>
  <c r="G125"/>
  <c r="H51"/>
  <c r="G51"/>
  <c r="H138"/>
  <c r="G138"/>
  <c r="H149"/>
  <c r="H86"/>
  <c r="G86"/>
  <c r="H13"/>
  <c r="I144"/>
  <c r="I131"/>
  <c r="I127"/>
  <c r="I71"/>
  <c r="I67"/>
  <c r="G67"/>
  <c r="I64"/>
  <c r="I63"/>
  <c r="I55"/>
  <c r="I53"/>
  <c r="I51"/>
  <c r="L13"/>
  <c r="L148"/>
  <c r="P169"/>
  <c r="L169"/>
  <c r="H196"/>
  <c r="I196"/>
  <c r="J196"/>
  <c r="L196"/>
  <c r="M196"/>
  <c r="N196"/>
  <c r="O196"/>
  <c r="G196"/>
  <c r="K205"/>
  <c r="F205"/>
  <c r="Q205" s="1"/>
  <c r="G201"/>
  <c r="P138"/>
  <c r="G140"/>
  <c r="L38"/>
  <c r="G188" l="1"/>
  <c r="G193"/>
  <c r="G189"/>
  <c r="G190"/>
  <c r="G146"/>
  <c r="G39"/>
  <c r="L14"/>
  <c r="P14" s="1"/>
  <c r="L113"/>
  <c r="L176"/>
  <c r="L27"/>
  <c r="P27" s="1"/>
  <c r="P113"/>
  <c r="F161"/>
  <c r="G151"/>
  <c r="L128"/>
  <c r="L16"/>
  <c r="G16"/>
  <c r="J204"/>
  <c r="H66"/>
  <c r="I66"/>
  <c r="K66"/>
  <c r="L66"/>
  <c r="O50"/>
  <c r="P66"/>
  <c r="K72"/>
  <c r="L72"/>
  <c r="N50"/>
  <c r="G72"/>
  <c r="H72"/>
  <c r="F72"/>
  <c r="K50"/>
  <c r="L50"/>
  <c r="M50"/>
  <c r="J50"/>
  <c r="P149"/>
  <c r="L197"/>
  <c r="H197"/>
  <c r="G197"/>
  <c r="L188"/>
  <c r="H188"/>
  <c r="J38"/>
  <c r="G176"/>
  <c r="L78"/>
  <c r="G132"/>
  <c r="G135"/>
  <c r="G116"/>
  <c r="L134"/>
  <c r="L34"/>
  <c r="G141"/>
  <c r="J160"/>
  <c r="G94"/>
  <c r="G115"/>
  <c r="G204"/>
  <c r="P71"/>
  <c r="P72"/>
  <c r="P50" s="1"/>
  <c r="P73"/>
  <c r="P74"/>
  <c r="G157"/>
  <c r="H118"/>
  <c r="G118"/>
  <c r="L185"/>
  <c r="L164"/>
  <c r="L149"/>
  <c r="L55"/>
  <c r="L36"/>
  <c r="L15"/>
  <c r="I113"/>
  <c r="G114"/>
  <c r="L120"/>
  <c r="P161"/>
  <c r="G18"/>
  <c r="P37"/>
  <c r="F202"/>
  <c r="G22"/>
  <c r="G119"/>
  <c r="J40"/>
  <c r="G25"/>
  <c r="I86"/>
  <c r="L144"/>
  <c r="G19"/>
  <c r="L31"/>
  <c r="G74"/>
  <c r="Q29"/>
  <c r="P29"/>
  <c r="K29" s="1"/>
  <c r="F29"/>
  <c r="L82"/>
  <c r="G45"/>
  <c r="G87"/>
  <c r="J180"/>
  <c r="K46"/>
  <c r="K47"/>
  <c r="K48"/>
  <c r="G48"/>
  <c r="L81"/>
  <c r="G81"/>
  <c r="L175"/>
  <c r="L17"/>
  <c r="L141"/>
  <c r="P141" s="1"/>
  <c r="L135"/>
  <c r="G162"/>
  <c r="L132"/>
  <c r="P41"/>
  <c r="G198"/>
  <c r="P70"/>
  <c r="G70"/>
  <c r="H69"/>
  <c r="G69"/>
  <c r="L156"/>
  <c r="G156"/>
  <c r="G66"/>
  <c r="L155"/>
  <c r="L33"/>
  <c r="I149"/>
  <c r="P177"/>
  <c r="L177"/>
  <c r="G177"/>
  <c r="P75"/>
  <c r="L12" l="1"/>
  <c r="F204"/>
  <c r="Q204" s="1"/>
  <c r="G12"/>
  <c r="G105"/>
  <c r="K44"/>
  <c r="Q203"/>
  <c r="K203"/>
  <c r="K204"/>
  <c r="H114" l="1"/>
  <c r="H113"/>
  <c r="H27"/>
  <c r="G27"/>
  <c r="P78"/>
  <c r="P156"/>
  <c r="P140"/>
  <c r="L137"/>
  <c r="L43"/>
  <c r="G43"/>
  <c r="L140"/>
  <c r="K51"/>
  <c r="K52"/>
  <c r="K53"/>
  <c r="K56"/>
  <c r="K57"/>
  <c r="K58"/>
  <c r="K59"/>
  <c r="K60"/>
  <c r="K61"/>
  <c r="K62"/>
  <c r="K63"/>
  <c r="K64"/>
  <c r="K65"/>
  <c r="K67"/>
  <c r="K68"/>
  <c r="K69"/>
  <c r="K70"/>
  <c r="K71"/>
  <c r="K73"/>
  <c r="K74"/>
  <c r="K75"/>
  <c r="K76"/>
  <c r="K77"/>
  <c r="K79"/>
  <c r="K80"/>
  <c r="P58"/>
  <c r="L58"/>
  <c r="H58"/>
  <c r="G58"/>
  <c r="J178"/>
  <c r="G65"/>
  <c r="M161"/>
  <c r="P31"/>
  <c r="M184"/>
  <c r="M176"/>
  <c r="K78" l="1"/>
  <c r="P60"/>
  <c r="G60"/>
  <c r="H67"/>
  <c r="P82" l="1"/>
  <c r="K82" s="1"/>
  <c r="Q59"/>
  <c r="H56"/>
  <c r="H54"/>
  <c r="H50" s="1"/>
  <c r="I54"/>
  <c r="I50" s="1"/>
  <c r="H85"/>
  <c r="I85"/>
  <c r="K86"/>
  <c r="P185"/>
  <c r="P176"/>
  <c r="P166"/>
  <c r="P155"/>
  <c r="P175"/>
  <c r="P165"/>
  <c r="P164"/>
  <c r="K133"/>
  <c r="P134"/>
  <c r="K134" s="1"/>
  <c r="F133"/>
  <c r="F134"/>
  <c r="P127"/>
  <c r="P130"/>
  <c r="P128"/>
  <c r="P35"/>
  <c r="K35" s="1"/>
  <c r="F35"/>
  <c r="Q35" s="1"/>
  <c r="P120"/>
  <c r="K145"/>
  <c r="P144"/>
  <c r="L54"/>
  <c r="L53"/>
  <c r="P53" s="1"/>
  <c r="P197"/>
  <c r="P13"/>
  <c r="P168" l="1"/>
  <c r="Q134"/>
  <c r="P55"/>
  <c r="K55" s="1"/>
  <c r="F81"/>
  <c r="F82"/>
  <c r="F80"/>
  <c r="F76"/>
  <c r="Q76" s="1"/>
  <c r="F77"/>
  <c r="Q77" s="1"/>
  <c r="F78"/>
  <c r="Q78" s="1"/>
  <c r="F79"/>
  <c r="F75"/>
  <c r="Q75" s="1"/>
  <c r="F74"/>
  <c r="Q74" s="1"/>
  <c r="F73"/>
  <c r="Q73" s="1"/>
  <c r="F71"/>
  <c r="Q71" s="1"/>
  <c r="F70"/>
  <c r="Q70" s="1"/>
  <c r="F69"/>
  <c r="Q69" s="1"/>
  <c r="F68"/>
  <c r="Q68" s="1"/>
  <c r="F67"/>
  <c r="Q67" s="1"/>
  <c r="F64"/>
  <c r="F65"/>
  <c r="Q65" s="1"/>
  <c r="F127"/>
  <c r="F63"/>
  <c r="F55"/>
  <c r="F57"/>
  <c r="F60"/>
  <c r="Q60" s="1"/>
  <c r="F62"/>
  <c r="F61"/>
  <c r="G56"/>
  <c r="F56" s="1"/>
  <c r="G54"/>
  <c r="G50" s="1"/>
  <c r="F58"/>
  <c r="Q58" s="1"/>
  <c r="F51"/>
  <c r="G52"/>
  <c r="F53"/>
  <c r="F14"/>
  <c r="K14"/>
  <c r="P193"/>
  <c r="F192"/>
  <c r="P192"/>
  <c r="K192" s="1"/>
  <c r="P191"/>
  <c r="G183"/>
  <c r="G182"/>
  <c r="G181"/>
  <c r="P179"/>
  <c r="G150"/>
  <c r="G139"/>
  <c r="P135"/>
  <c r="P132"/>
  <c r="G126"/>
  <c r="P121"/>
  <c r="G93"/>
  <c r="G85" s="1"/>
  <c r="P81"/>
  <c r="F44"/>
  <c r="Q44" s="1"/>
  <c r="P38"/>
  <c r="P36"/>
  <c r="P33"/>
  <c r="G32"/>
  <c r="G30"/>
  <c r="G28"/>
  <c r="G20"/>
  <c r="P17"/>
  <c r="P16"/>
  <c r="G21"/>
  <c r="P15"/>
  <c r="K81" l="1"/>
  <c r="F54"/>
  <c r="Q55"/>
  <c r="P54"/>
  <c r="K54" s="1"/>
  <c r="F52"/>
  <c r="Q72"/>
  <c r="F66"/>
  <c r="Q66" s="1"/>
  <c r="Q14"/>
  <c r="P199"/>
  <c r="P196" s="1"/>
  <c r="Q192"/>
  <c r="K15" l="1"/>
  <c r="K146"/>
  <c r="F140"/>
  <c r="K178"/>
  <c r="F43"/>
  <c r="K166"/>
  <c r="F203"/>
  <c r="K202"/>
  <c r="Q202" s="1"/>
  <c r="K201"/>
  <c r="F201"/>
  <c r="F200"/>
  <c r="Q200" s="1"/>
  <c r="K199"/>
  <c r="K196" s="1"/>
  <c r="F199"/>
  <c r="K198"/>
  <c r="G195"/>
  <c r="L195"/>
  <c r="K197"/>
  <c r="H195"/>
  <c r="F197"/>
  <c r="P195"/>
  <c r="M195"/>
  <c r="I195"/>
  <c r="D196"/>
  <c r="O195"/>
  <c r="N195"/>
  <c r="P194"/>
  <c r="K194" s="1"/>
  <c r="F194"/>
  <c r="K193"/>
  <c r="F193"/>
  <c r="K191"/>
  <c r="F191"/>
  <c r="K190"/>
  <c r="F190"/>
  <c r="K189"/>
  <c r="F189"/>
  <c r="Q189" s="1"/>
  <c r="P188"/>
  <c r="K188" s="1"/>
  <c r="I187"/>
  <c r="I186" s="1"/>
  <c r="F188"/>
  <c r="O187"/>
  <c r="O186" s="1"/>
  <c r="N187"/>
  <c r="N186" s="1"/>
  <c r="M187"/>
  <c r="M186" s="1"/>
  <c r="J187"/>
  <c r="H187"/>
  <c r="H186" s="1"/>
  <c r="D187"/>
  <c r="J186"/>
  <c r="K185"/>
  <c r="F185"/>
  <c r="K184"/>
  <c r="F184"/>
  <c r="K183"/>
  <c r="K182"/>
  <c r="F182"/>
  <c r="P181"/>
  <c r="K181" s="1"/>
  <c r="F181"/>
  <c r="F180"/>
  <c r="Q180" s="1"/>
  <c r="K179"/>
  <c r="F179"/>
  <c r="F178"/>
  <c r="K177"/>
  <c r="F177"/>
  <c r="K175"/>
  <c r="F175"/>
  <c r="K174"/>
  <c r="F174"/>
  <c r="P173"/>
  <c r="K173" s="1"/>
  <c r="F173"/>
  <c r="P172"/>
  <c r="K172" s="1"/>
  <c r="F172"/>
  <c r="P171"/>
  <c r="K171" s="1"/>
  <c r="F171"/>
  <c r="P170"/>
  <c r="K170" s="1"/>
  <c r="F170"/>
  <c r="K169"/>
  <c r="F169"/>
  <c r="K168"/>
  <c r="F168"/>
  <c r="K167"/>
  <c r="F167"/>
  <c r="F166"/>
  <c r="K165"/>
  <c r="Q165" s="1"/>
  <c r="K164"/>
  <c r="F164"/>
  <c r="K163"/>
  <c r="F163"/>
  <c r="K162"/>
  <c r="F162"/>
  <c r="K161"/>
  <c r="P160"/>
  <c r="K160" s="1"/>
  <c r="F160"/>
  <c r="K159"/>
  <c r="F159"/>
  <c r="P158"/>
  <c r="K158" s="1"/>
  <c r="J158"/>
  <c r="F158" s="1"/>
  <c r="K157"/>
  <c r="F157"/>
  <c r="K156"/>
  <c r="F156"/>
  <c r="K155"/>
  <c r="F155"/>
  <c r="P154"/>
  <c r="K154" s="1"/>
  <c r="F154"/>
  <c r="K153"/>
  <c r="F153"/>
  <c r="P152"/>
  <c r="K152" s="1"/>
  <c r="F152"/>
  <c r="K151"/>
  <c r="F151"/>
  <c r="K150"/>
  <c r="F150"/>
  <c r="K149"/>
  <c r="F149"/>
  <c r="O148"/>
  <c r="O147" s="1"/>
  <c r="N148"/>
  <c r="N147" s="1"/>
  <c r="I148"/>
  <c r="I147" s="1"/>
  <c r="H148"/>
  <c r="H147" s="1"/>
  <c r="D148"/>
  <c r="F146"/>
  <c r="F145"/>
  <c r="K144"/>
  <c r="F144"/>
  <c r="K143"/>
  <c r="F143"/>
  <c r="K142"/>
  <c r="F142"/>
  <c r="K141"/>
  <c r="F141"/>
  <c r="F139"/>
  <c r="Q139" s="1"/>
  <c r="K138"/>
  <c r="F138"/>
  <c r="O137"/>
  <c r="O136" s="1"/>
  <c r="N137"/>
  <c r="N136" s="1"/>
  <c r="M137"/>
  <c r="M136" s="1"/>
  <c r="J137"/>
  <c r="J136" s="1"/>
  <c r="I137"/>
  <c r="I136" s="1"/>
  <c r="D137"/>
  <c r="K135"/>
  <c r="F135"/>
  <c r="F132"/>
  <c r="K131"/>
  <c r="F131"/>
  <c r="K130"/>
  <c r="F130"/>
  <c r="K129"/>
  <c r="F129"/>
  <c r="K128"/>
  <c r="F128"/>
  <c r="K126"/>
  <c r="G124"/>
  <c r="G123" s="1"/>
  <c r="P125"/>
  <c r="K125" s="1"/>
  <c r="F125"/>
  <c r="O124"/>
  <c r="O123" s="1"/>
  <c r="N124"/>
  <c r="N123" s="1"/>
  <c r="M124"/>
  <c r="M123" s="1"/>
  <c r="L124"/>
  <c r="L123" s="1"/>
  <c r="J124"/>
  <c r="J123" s="1"/>
  <c r="I124"/>
  <c r="I123" s="1"/>
  <c r="D124"/>
  <c r="K122"/>
  <c r="F122"/>
  <c r="K121"/>
  <c r="F121"/>
  <c r="K120"/>
  <c r="Q120" s="1"/>
  <c r="F119"/>
  <c r="Q119" s="1"/>
  <c r="K118"/>
  <c r="F118"/>
  <c r="K117"/>
  <c r="F117"/>
  <c r="K116"/>
  <c r="F116"/>
  <c r="K115"/>
  <c r="F115"/>
  <c r="K114"/>
  <c r="F114"/>
  <c r="K113"/>
  <c r="H84"/>
  <c r="F113"/>
  <c r="K112"/>
  <c r="F112"/>
  <c r="K111"/>
  <c r="F111"/>
  <c r="K110"/>
  <c r="F110"/>
  <c r="K109"/>
  <c r="F109"/>
  <c r="K108"/>
  <c r="F108"/>
  <c r="K107"/>
  <c r="F107"/>
  <c r="K106"/>
  <c r="F106"/>
  <c r="K105"/>
  <c r="F105"/>
  <c r="F104"/>
  <c r="Q104" s="1"/>
  <c r="K103"/>
  <c r="F103"/>
  <c r="K102"/>
  <c r="F102"/>
  <c r="K101"/>
  <c r="F101"/>
  <c r="K100"/>
  <c r="F100"/>
  <c r="K99"/>
  <c r="F99"/>
  <c r="K98"/>
  <c r="F98"/>
  <c r="K97"/>
  <c r="F97"/>
  <c r="P96"/>
  <c r="P85" s="1"/>
  <c r="O96"/>
  <c r="O85" s="1"/>
  <c r="N96"/>
  <c r="N85" s="1"/>
  <c r="M96"/>
  <c r="M85" s="1"/>
  <c r="L96"/>
  <c r="L85" s="1"/>
  <c r="J96"/>
  <c r="J85" s="1"/>
  <c r="F85" s="1"/>
  <c r="I84"/>
  <c r="K95"/>
  <c r="F95"/>
  <c r="K94"/>
  <c r="F94"/>
  <c r="K93"/>
  <c r="F93"/>
  <c r="K92"/>
  <c r="F92"/>
  <c r="K91"/>
  <c r="F91"/>
  <c r="K90"/>
  <c r="F90"/>
  <c r="K89"/>
  <c r="F89"/>
  <c r="K88"/>
  <c r="F88"/>
  <c r="K87"/>
  <c r="F87"/>
  <c r="F86"/>
  <c r="Q86" s="1"/>
  <c r="G84"/>
  <c r="D85"/>
  <c r="K83"/>
  <c r="F83"/>
  <c r="K127"/>
  <c r="Q127" s="1"/>
  <c r="Q62"/>
  <c r="H49"/>
  <c r="O49"/>
  <c r="N49"/>
  <c r="M49"/>
  <c r="J49"/>
  <c r="I49"/>
  <c r="F48"/>
  <c r="Q48" s="1"/>
  <c r="F47"/>
  <c r="F46"/>
  <c r="K45"/>
  <c r="F45"/>
  <c r="P43"/>
  <c r="K43" s="1"/>
  <c r="K42"/>
  <c r="F42"/>
  <c r="K41"/>
  <c r="F41"/>
  <c r="K40"/>
  <c r="F40"/>
  <c r="K39"/>
  <c r="F39"/>
  <c r="K38"/>
  <c r="F38"/>
  <c r="K37"/>
  <c r="F37"/>
  <c r="K36"/>
  <c r="F36"/>
  <c r="P34"/>
  <c r="K34" s="1"/>
  <c r="F34"/>
  <c r="K33"/>
  <c r="L11"/>
  <c r="F33"/>
  <c r="K32"/>
  <c r="F32"/>
  <c r="K31"/>
  <c r="F31"/>
  <c r="K30"/>
  <c r="F30"/>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K12" l="1"/>
  <c r="K11" s="1"/>
  <c r="K85"/>
  <c r="Q85" s="1"/>
  <c r="Q190"/>
  <c r="J84"/>
  <c r="O84"/>
  <c r="O206" s="1"/>
  <c r="N84"/>
  <c r="N206" s="1"/>
  <c r="M84"/>
  <c r="Q177"/>
  <c r="Q99"/>
  <c r="Q107"/>
  <c r="Q100"/>
  <c r="Q28"/>
  <c r="Q30"/>
  <c r="Q45"/>
  <c r="Q31"/>
  <c r="Q108"/>
  <c r="Q117"/>
  <c r="Q154"/>
  <c r="Q158"/>
  <c r="Q111"/>
  <c r="Q114"/>
  <c r="Q118"/>
  <c r="Q145"/>
  <c r="Q153"/>
  <c r="Q159"/>
  <c r="Q20"/>
  <c r="Q24"/>
  <c r="Q26"/>
  <c r="Q88"/>
  <c r="Q90"/>
  <c r="Q92"/>
  <c r="Q94"/>
  <c r="Q122"/>
  <c r="Q156"/>
  <c r="Q19"/>
  <c r="Q25"/>
  <c r="Q27"/>
  <c r="Q34"/>
  <c r="Q39"/>
  <c r="Q61"/>
  <c r="Q87"/>
  <c r="Q89"/>
  <c r="Q93"/>
  <c r="Q95"/>
  <c r="K96"/>
  <c r="Q125"/>
  <c r="Q150"/>
  <c r="Q184"/>
  <c r="Q53"/>
  <c r="Q51"/>
  <c r="Q197"/>
  <c r="Q201"/>
  <c r="Q185"/>
  <c r="Q162"/>
  <c r="Q155"/>
  <c r="Q149"/>
  <c r="Q143"/>
  <c r="Q121"/>
  <c r="Q63"/>
  <c r="Q182"/>
  <c r="Q103"/>
  <c r="Q91"/>
  <c r="Q115"/>
  <c r="Q179"/>
  <c r="K195"/>
  <c r="Q199"/>
  <c r="Q135"/>
  <c r="P84"/>
  <c r="Q17"/>
  <c r="Q16"/>
  <c r="Q21"/>
  <c r="Q37"/>
  <c r="Q54"/>
  <c r="Q22"/>
  <c r="Q33"/>
  <c r="Q46"/>
  <c r="Q56"/>
  <c r="Q80"/>
  <c r="Q82"/>
  <c r="Q83"/>
  <c r="Q97"/>
  <c r="Q102"/>
  <c r="Q106"/>
  <c r="Q109"/>
  <c r="Q112"/>
  <c r="Q131"/>
  <c r="Q142"/>
  <c r="J148"/>
  <c r="J147" s="1"/>
  <c r="Q152"/>
  <c r="Q172"/>
  <c r="Q181"/>
  <c r="Q191"/>
  <c r="H124"/>
  <c r="H123" s="1"/>
  <c r="Q163"/>
  <c r="Q173"/>
  <c r="Q193"/>
  <c r="Q18"/>
  <c r="Q23"/>
  <c r="Q40"/>
  <c r="Q42"/>
  <c r="Q47"/>
  <c r="Q52"/>
  <c r="Q57"/>
  <c r="Q64"/>
  <c r="Q79"/>
  <c r="Q81"/>
  <c r="L49"/>
  <c r="Q98"/>
  <c r="Q101"/>
  <c r="Q105"/>
  <c r="Q110"/>
  <c r="Q113"/>
  <c r="L84"/>
  <c r="F126"/>
  <c r="F124" s="1"/>
  <c r="F123" s="1"/>
  <c r="Q128"/>
  <c r="Q141"/>
  <c r="Q151"/>
  <c r="Q170"/>
  <c r="Q174"/>
  <c r="G187"/>
  <c r="G186" s="1"/>
  <c r="L187"/>
  <c r="L186" s="1"/>
  <c r="P187"/>
  <c r="P186" s="1"/>
  <c r="J195"/>
  <c r="K176"/>
  <c r="K148" s="1"/>
  <c r="K147" s="1"/>
  <c r="L136"/>
  <c r="Q32"/>
  <c r="Q36"/>
  <c r="Q116"/>
  <c r="H137"/>
  <c r="H136" s="1"/>
  <c r="M148"/>
  <c r="M147" s="1"/>
  <c r="Q157"/>
  <c r="Q171"/>
  <c r="I206"/>
  <c r="Q13"/>
  <c r="Q129"/>
  <c r="Q15"/>
  <c r="Q146"/>
  <c r="P137"/>
  <c r="P136" s="1"/>
  <c r="G148"/>
  <c r="G147" s="1"/>
  <c r="F183"/>
  <c r="Q183" s="1"/>
  <c r="G11"/>
  <c r="L147"/>
  <c r="Q161"/>
  <c r="Q41"/>
  <c r="Q43"/>
  <c r="Q130"/>
  <c r="Q133"/>
  <c r="Q168"/>
  <c r="Q194"/>
  <c r="P124"/>
  <c r="P123" s="1"/>
  <c r="K132"/>
  <c r="K124" s="1"/>
  <c r="K123" s="1"/>
  <c r="Q138"/>
  <c r="F187"/>
  <c r="Q188"/>
  <c r="Q38"/>
  <c r="Q166"/>
  <c r="Q175"/>
  <c r="Q144"/>
  <c r="Q160"/>
  <c r="Q164"/>
  <c r="Q167"/>
  <c r="Q169"/>
  <c r="Q178"/>
  <c r="K187"/>
  <c r="K186" s="1"/>
  <c r="F96"/>
  <c r="F198"/>
  <c r="G137"/>
  <c r="G136" s="1"/>
  <c r="K140"/>
  <c r="K137" s="1"/>
  <c r="K136" s="1"/>
  <c r="P148"/>
  <c r="P147" s="1"/>
  <c r="F176"/>
  <c r="P49"/>
  <c r="P12"/>
  <c r="P11" s="1"/>
  <c r="F137"/>
  <c r="M206" l="1"/>
  <c r="K49"/>
  <c r="Q96"/>
  <c r="Q132"/>
  <c r="J206"/>
  <c r="Q126"/>
  <c r="H206"/>
  <c r="Q176"/>
  <c r="L206"/>
  <c r="P206"/>
  <c r="Q198"/>
  <c r="Q187"/>
  <c r="F186"/>
  <c r="Q186" s="1"/>
  <c r="Q140"/>
  <c r="Q124"/>
  <c r="Q123" s="1"/>
  <c r="F50"/>
  <c r="G49"/>
  <c r="G206" s="1"/>
  <c r="F12"/>
  <c r="Q137"/>
  <c r="F136"/>
  <c r="Q136" s="1"/>
  <c r="F84"/>
  <c r="K84"/>
  <c r="F148"/>
  <c r="K206" l="1"/>
  <c r="Q84"/>
  <c r="Q148"/>
  <c r="F147"/>
  <c r="Q147" s="1"/>
  <c r="F195"/>
  <c r="Q195" s="1"/>
  <c r="Q196"/>
  <c r="Q12"/>
  <c r="F11"/>
  <c r="F49"/>
  <c r="Q49" s="1"/>
  <c r="Q50"/>
  <c r="F206" l="1"/>
  <c r="Q206" s="1"/>
  <c r="Q11"/>
</calcChain>
</file>

<file path=xl/sharedStrings.xml><?xml version="1.0" encoding="utf-8"?>
<sst xmlns="http://schemas.openxmlformats.org/spreadsheetml/2006/main" count="818" uniqueCount="561">
  <si>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</si>
  <si>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</si>
  <si>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</si>
  <si>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</si>
  <si>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</si>
  <si>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</si>
  <si>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</si>
  <si>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</si>
  <si>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</si>
  <si>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</si>
  <si>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</si>
  <si>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</si>
  <si>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</si>
  <si>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</si>
  <si>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</si>
  <si>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</si>
  <si>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</si>
  <si>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</si>
  <si>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</si>
  <si>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</si>
  <si>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</si>
  <si>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</si>
  <si>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</si>
  <si>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</si>
  <si>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</si>
  <si>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</si>
  <si>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</si>
  <si>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</si>
  <si>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</si>
  <si>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</si>
  <si>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</si>
  <si>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</si>
  <si>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</si>
  <si>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</si>
  <si>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</si>
  <si>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</si>
  <si>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</si>
  <si>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</si>
  <si>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</si>
  <si>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</si>
  <si>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</si>
  <si>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</si>
  <si>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</si>
  <si>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</si>
  <si>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</si>
  <si>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</si>
  <si>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</si>
  <si>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</si>
  <si>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</si>
  <si>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</si>
  <si>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</si>
  <si>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</si>
  <si>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</si>
  <si>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</si>
  <si>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</si>
  <si>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</si>
  <si>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</si>
  <si>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</si>
  <si>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</si>
  <si>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</si>
  <si>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</si>
  <si>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</si>
  <si>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</si>
  <si>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</si>
  <si>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</si>
  <si>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</si>
  <si>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</si>
  <si>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</si>
  <si>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</si>
  <si>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</si>
  <si>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</si>
  <si>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</si>
  <si>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</si>
  <si>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</si>
  <si>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</si>
  <si>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</si>
  <si>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</si>
  <si>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</si>
  <si>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</si>
  <si>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</si>
  <si>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</si>
  <si>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</si>
  <si>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</si>
  <si>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</si>
  <si>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</si>
  <si>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</si>
  <si>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</si>
  <si>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</si>
  <si>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</si>
  <si>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</si>
  <si>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</si>
  <si>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</si>
  <si>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</si>
  <si>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</si>
  <si>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</si>
  <si>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</si>
  <si>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</si>
  <si>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</si>
  <si>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</si>
  <si>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</si>
  <si>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</si>
  <si>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</si>
  <si>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</si>
  <si>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</si>
  <si>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</si>
  <si>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</si>
  <si>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</si>
  <si>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</si>
  <si>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</si>
  <si>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</si>
  <si>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</si>
  <si>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</si>
  <si>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</si>
  <si>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</si>
  <si>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</si>
  <si>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</si>
  <si>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</si>
  <si>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</si>
  <si>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</si>
  <si>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</si>
  <si>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</si>
  <si>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</si>
  <si>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</si>
  <si>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</si>
  <si>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</si>
  <si>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</si>
  <si>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</si>
  <si>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</si>
  <si>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</si>
  <si>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</si>
  <si>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</si>
  <si>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</si>
  <si>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</si>
  <si>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</si>
  <si>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</si>
  <si>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</si>
  <si>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</si>
  <si>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</si>
  <si>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</si>
  <si>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</si>
  <si>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</si>
  <si>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</si>
  <si>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</si>
  <si>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</si>
  <si>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</si>
  <si>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</si>
  <si>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</si>
  <si>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</si>
  <si>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</si>
  <si>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</si>
  <si>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</si>
  <si>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</si>
  <si>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</si>
  <si>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</si>
  <si>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</si>
  <si>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</si>
  <si>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</si>
  <si>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</si>
  <si>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</si>
  <si>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</si>
  <si>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</si>
  <si>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</si>
  <si>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</si>
  <si>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</si>
  <si>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</si>
  <si>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</si>
  <si>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</si>
  <si>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</si>
  <si>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</si>
  <si>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</si>
  <si>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</si>
  <si>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</si>
  <si>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</si>
  <si>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</si>
  <si>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</si>
  <si>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</si>
  <si>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</si>
  <si>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</si>
  <si>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</si>
  <si>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</si>
  <si>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</si>
  <si>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</si>
  <si>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</si>
  <si>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</si>
  <si>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</si>
  <si>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</si>
  <si>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</si>
  <si>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</si>
  <si>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</si>
  <si>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</si>
  <si>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</si>
  <si>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</si>
  <si>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</si>
  <si>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</si>
  <si>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</si>
  <si>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</si>
  <si>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</si>
  <si>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</si>
  <si>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</si>
  <si>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</si>
  <si>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</si>
  <si>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</si>
  <si>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</si>
  <si>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</si>
  <si>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</si>
  <si>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</si>
  <si>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</si>
  <si>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</si>
  <si>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</si>
  <si>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</si>
  <si>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</si>
  <si>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</si>
  <si>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</si>
  <si>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</si>
  <si>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</si>
  <si>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</si>
  <si>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</si>
  <si>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</si>
  <si>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</si>
  <si>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</si>
  <si>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</si>
  <si>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</si>
  <si>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</si>
  <si>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</si>
  <si>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</si>
  <si>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</si>
  <si>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</si>
  <si>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</si>
  <si>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</si>
  <si>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</si>
  <si>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</si>
  <si>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</si>
  <si>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</si>
  <si>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</si>
  <si>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</si>
  <si>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</si>
  <si>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</si>
  <si>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</si>
  <si>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</si>
  <si>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</si>
  <si>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</si>
  <si>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</si>
  <si>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</si>
  <si>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</si>
  <si>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</si>
  <si>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</si>
  <si>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</si>
  <si>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</si>
  <si>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</si>
  <si>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</si>
  <si>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</si>
  <si>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</si>
  <si>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</si>
  <si>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</si>
  <si>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</si>
  <si>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</si>
  <si>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</si>
  <si>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</si>
  <si>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</si>
  <si>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</si>
  <si>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</si>
  <si>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</si>
  <si>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</si>
  <si>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</si>
  <si>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</si>
  <si>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</si>
  <si>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</si>
  <si>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</si>
  <si>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</si>
  <si>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</si>
  <si>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</si>
  <si>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</si>
  <si>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</si>
  <si>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</si>
  <si>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</si>
  <si>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</si>
  <si>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</si>
  <si>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</si>
  <si>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</si>
  <si>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</si>
  <si>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</si>
  <si>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</si>
  <si>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</si>
  <si>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</si>
  <si>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</si>
  <si>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</si>
  <si>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</si>
  <si>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</si>
  <si>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</si>
  <si>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</si>
  <si>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</si>
  <si>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</si>
  <si>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</si>
  <si>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</si>
  <si>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</si>
  <si>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</si>
  <si>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</si>
  <si>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</si>
  <si>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</si>
  <si>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</si>
  <si>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</si>
  <si>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</si>
  <si>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</si>
  <si>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</si>
  <si>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</si>
  <si>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</si>
  <si>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</si>
  <si>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</si>
  <si>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</si>
  <si>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</si>
  <si>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</si>
  <si>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</si>
  <si>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</si>
  <si>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</si>
  <si>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</si>
  <si>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</si>
  <si>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</si>
  <si>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</si>
  <si>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</si>
  <si>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</si>
  <si>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</si>
  <si>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</si>
  <si>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</si>
  <si>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</si>
  <si>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</si>
  <si>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</si>
  <si>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</si>
  <si>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</si>
  <si>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</si>
  <si>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</si>
  <si>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</si>
  <si>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</si>
  <si>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</si>
  <si>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</si>
  <si>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</si>
  <si>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</si>
  <si>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</si>
  <si>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</si>
  <si>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</si>
  <si>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</si>
  <si>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</si>
  <si>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</si>
  <si>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</si>
  <si>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</si>
  <si>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</si>
  <si>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</si>
  <si>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</si>
  <si>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</si>
  <si>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</si>
  <si>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</si>
  <si>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</si>
  <si>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</si>
  <si>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</si>
  <si>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</si>
  <si>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</si>
  <si>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</si>
  <si>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</si>
  <si>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</si>
  <si>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</si>
  <si>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</si>
  <si>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</si>
  <si>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</si>
  <si>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</si>
  <si>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</si>
  <si>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</si>
  <si>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</si>
  <si>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</si>
  <si>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</si>
  <si>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</si>
  <si>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</si>
  <si>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</si>
  <si>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</si>
  <si>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</si>
  <si>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</si>
  <si>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</si>
  <si>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</si>
  <si>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</si>
  <si>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</si>
  <si>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</si>
  <si>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</si>
  <si>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</si>
  <si>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</si>
  <si>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</si>
  <si>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</si>
  <si>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</si>
  <si>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</si>
  <si>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</si>
  <si>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</si>
  <si>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</si>
  <si>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</si>
  <si>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</si>
  <si>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</si>
  <si>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</si>
  <si>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</si>
  <si>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</si>
  <si>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</si>
  <si>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</si>
  <si>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</si>
  <si>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</si>
  <si>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</si>
  <si>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</si>
  <si>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</si>
  <si>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</si>
  <si>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</si>
  <si>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</si>
  <si>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</si>
  <si>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</si>
  <si>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</si>
  <si>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</si>
  <si>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</si>
  <si>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</si>
  <si>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</si>
  <si>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</si>
  <si>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</si>
  <si>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</si>
  <si>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</si>
  <si>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</si>
  <si>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</si>
  <si>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</si>
  <si>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</si>
  <si>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</si>
  <si>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</si>
  <si>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</si>
  <si>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</si>
  <si>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</si>
  <si>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</si>
  <si>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</si>
  <si>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</si>
  <si>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</si>
  <si>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</si>
  <si>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</si>
  <si>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</si>
  <si>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</si>
  <si>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</si>
  <si>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</si>
  <si>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</si>
  <si>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</si>
  <si>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</si>
  <si>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</si>
  <si>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</si>
  <si>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</si>
  <si>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</si>
  <si>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</si>
  <si>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</si>
  <si>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</si>
  <si>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</si>
  <si>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</si>
  <si>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</si>
  <si>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</si>
  <si>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</si>
  <si>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</si>
  <si>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</si>
  <si>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</si>
  <si>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</si>
  <si>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</si>
  <si>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</si>
  <si>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</si>
  <si>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</si>
  <si>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</si>
  <si>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</si>
  <si>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</si>
  <si>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</si>
  <si>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</si>
  <si>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</si>
  <si>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</si>
  <si>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</si>
  <si>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</si>
  <si>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</si>
  <si>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</si>
  <si>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</si>
  <si>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</si>
  <si>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</si>
  <si>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</si>
  <si>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</si>
  <si>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</si>
  <si>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</si>
  <si>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</si>
  <si>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</si>
  <si>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</si>
  <si>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</si>
  <si>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</si>
  <si>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</si>
  <si>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</si>
  <si>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</si>
  <si>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</si>
  <si>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</si>
  <si>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</si>
  <si>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</si>
  <si>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</si>
  <si>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</si>
  <si>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</si>
  <si>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</si>
  <si>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</si>
  <si>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</si>
  <si>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</si>
  <si>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</si>
  <si>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</si>
  <si>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</si>
  <si>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</si>
  <si>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</si>
  <si>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</si>
  <si>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</si>
  <si>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</si>
  <si>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</si>
  <si>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</si>
  <si>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</si>
  <si>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</si>
  <si>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</si>
  <si>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</si>
  <si>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</si>
  <si>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</si>
  <si>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</si>
  <si>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</si>
  <si>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</si>
  <si>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</si>
  <si>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</si>
  <si>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</si>
  <si>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</si>
  <si>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</si>
  <si>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</si>
  <si>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</si>
  <si>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</si>
  <si>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</si>
  <si>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</si>
  <si>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</si>
  <si>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</si>
  <si>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</si>
  <si>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</si>
  <si>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</si>
  <si>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</si>
  <si>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</si>
  <si>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</si>
  <si>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</si>
  <si>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</si>
  <si>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</si>
  <si>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</si>
  <si>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</si>
  <si>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</si>
  <si>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</si>
  <si>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</si>
  <si>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</si>
  <si>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Надання загальної середньої освіти за рахунок</t>
    </r>
    <r>
      <rPr>
        <b/>
        <sz val="18"/>
        <color rgb="FF333333"/>
        <rFont val="Times New Roman"/>
        <family val="1"/>
        <charset val="204"/>
      </rPr>
      <t xml:space="preserve"> коштів місцевого бюджету</t>
    </r>
  </si>
  <si>
    <r>
      <t xml:space="preserve">Надання загальної середньої освіти за рахунок </t>
    </r>
    <r>
      <rPr>
        <b/>
        <sz val="18"/>
        <color rgb="FF333333"/>
        <rFont val="Times New Roman"/>
        <family val="1"/>
        <charset val="204"/>
      </rPr>
      <t xml:space="preserve">освітньої субвенції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</si>
  <si>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</si>
  <si>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</si>
  <si>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</si>
  <si>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</si>
  <si>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</si>
  <si>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</si>
  <si>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</si>
  <si>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</si>
  <si>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Олександр  КОДОЛА</t>
  </si>
  <si>
    <t>0611141</t>
  </si>
  <si>
    <t xml:space="preserve">             до рішення  міської ради VІІІ скликання                        </t>
  </si>
  <si>
    <t>0213124</t>
  </si>
  <si>
    <t>3124</t>
  </si>
  <si>
    <t>Сворення та забезпеченн ядіяльності спеціалізованих служб підтримки осіб, які постраждали від домашнього насильства та/ або насильства за ознаками статі</t>
  </si>
  <si>
    <t>3719800</t>
  </si>
  <si>
    <t>9800</t>
  </si>
  <si>
    <t xml:space="preserve">Субвенція з місцевого бюджету державному на виконання програм соціально- економічного  розвитку регіонів </t>
  </si>
  <si>
    <t xml:space="preserve">від 16 вересня 2021 року № 3-13/2021 </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</si>
</sst>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18"/>
      <color rgb="FF333333"/>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b/>
      <sz val="18"/>
      <color rgb="FF333333"/>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theme="0"/>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7">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8"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1" xfId="0" applyFont="1" applyBorder="1" applyAlignment="1">
      <alignment wrapText="1"/>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9"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1" fillId="0" borderId="0" xfId="0" applyNumberFormat="1" applyFont="1" applyFill="1" applyBorder="1" applyAlignment="1" applyProtection="1">
      <alignment horizontal="right" vertical="center" wrapText="1"/>
    </xf>
    <xf numFmtId="3" fontId="21" fillId="0" borderId="0" xfId="0" applyNumberFormat="1" applyFont="1" applyFill="1" applyBorder="1" applyAlignment="1" applyProtection="1">
      <alignment horizontal="right" vertical="center" wrapText="1"/>
    </xf>
    <xf numFmtId="49" fontId="25" fillId="0" borderId="0" xfId="0" applyNumberFormat="1" applyFont="1" applyFill="1" applyBorder="1" applyAlignment="1" applyProtection="1">
      <alignment horizontal="right" vertical="center" wrapText="1"/>
      <protection locked="0"/>
    </xf>
    <xf numFmtId="0" fontId="26" fillId="0" borderId="0" xfId="0"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49" fontId="15" fillId="5" borderId="1" xfId="0" applyNumberFormat="1" applyFont="1" applyFill="1" applyBorder="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20" fillId="0" borderId="1" xfId="0" applyFont="1" applyBorder="1" applyAlignment="1">
      <alignment horizontal="center" vertical="center"/>
    </xf>
    <xf numFmtId="4" fontId="25"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1"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6"/>
  <sheetViews>
    <sheetView tabSelected="1" view="pageBreakPreview" zoomScale="47" zoomScaleNormal="60" zoomScaleSheetLayoutView="47" workbookViewId="0">
      <pane xSplit="5" ySplit="10" topLeftCell="F151" activePane="bottomRight" state="frozen"/>
      <selection pane="topRight" activeCell="F1" sqref="F1"/>
      <selection pane="bottomLeft" activeCell="A11" sqref="A11"/>
      <selection pane="bottomRight" activeCell="N3" sqref="N3:Q3"/>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44" t="s">
        <v>550</v>
      </c>
      <c r="O1" s="144"/>
      <c r="P1" s="144"/>
      <c r="Q1" s="144"/>
      <c r="T1" s="14"/>
    </row>
    <row r="2" spans="1:20" s="6" customFormat="1" ht="36" customHeight="1">
      <c r="A2" s="145" t="s">
        <v>300</v>
      </c>
      <c r="B2" s="145"/>
      <c r="C2" s="145"/>
      <c r="D2" s="145"/>
      <c r="E2" s="145"/>
      <c r="F2" s="145"/>
      <c r="G2" s="145"/>
      <c r="H2" s="145"/>
      <c r="I2" s="145"/>
      <c r="J2" s="145"/>
      <c r="K2" s="145"/>
      <c r="L2" s="145"/>
      <c r="M2" s="145"/>
      <c r="N2" s="146" t="s">
        <v>553</v>
      </c>
      <c r="O2" s="146"/>
      <c r="P2" s="146"/>
      <c r="Q2" s="146"/>
      <c r="T2" s="14"/>
    </row>
    <row r="3" spans="1:20" s="6" customFormat="1" ht="51.6" customHeight="1">
      <c r="A3" s="145" t="s">
        <v>471</v>
      </c>
      <c r="B3" s="145"/>
      <c r="C3" s="145"/>
      <c r="D3" s="145"/>
      <c r="E3" s="145"/>
      <c r="F3" s="145"/>
      <c r="G3" s="145"/>
      <c r="H3" s="145"/>
      <c r="I3" s="145"/>
      <c r="J3" s="145"/>
      <c r="K3" s="145"/>
      <c r="L3" s="145"/>
      <c r="M3" s="145"/>
      <c r="N3" s="147" t="s">
        <v>560</v>
      </c>
      <c r="O3" s="147"/>
      <c r="P3" s="147"/>
      <c r="Q3" s="147"/>
      <c r="T3" s="14"/>
    </row>
    <row r="4" spans="1:20" s="6" customFormat="1" ht="27" customHeight="1">
      <c r="A4" s="142">
        <v>25538000000</v>
      </c>
      <c r="B4" s="142"/>
      <c r="C4" s="142"/>
      <c r="D4" s="2"/>
      <c r="E4" s="18"/>
      <c r="F4" s="32"/>
      <c r="G4" s="32"/>
      <c r="H4" s="32"/>
      <c r="I4" s="32"/>
      <c r="J4" s="32"/>
      <c r="K4" s="32"/>
      <c r="L4" s="32"/>
      <c r="M4" s="32"/>
      <c r="N4" s="143"/>
      <c r="O4" s="143"/>
      <c r="P4" s="143"/>
      <c r="Q4" s="143"/>
      <c r="T4" s="14"/>
    </row>
    <row r="5" spans="1:20" s="6" customFormat="1" ht="17.399999999999999" customHeight="1">
      <c r="A5" s="148" t="s">
        <v>446</v>
      </c>
      <c r="B5" s="148"/>
      <c r="C5" s="148"/>
      <c r="D5" s="2"/>
      <c r="E5" s="9"/>
      <c r="F5" s="32"/>
      <c r="G5" s="32"/>
      <c r="H5" s="32"/>
      <c r="I5" s="32"/>
      <c r="J5" s="32"/>
      <c r="K5" s="32"/>
      <c r="L5" s="32"/>
      <c r="M5" s="32"/>
      <c r="N5" s="32"/>
      <c r="O5" s="32"/>
      <c r="P5" s="33"/>
      <c r="Q5" s="33"/>
      <c r="T5" s="14"/>
    </row>
    <row r="6" spans="1:20" s="36" customFormat="1" ht="30.6" customHeight="1">
      <c r="A6" s="149" t="s">
        <v>325</v>
      </c>
      <c r="B6" s="150" t="s">
        <v>539</v>
      </c>
      <c r="C6" s="149" t="s">
        <v>277</v>
      </c>
      <c r="D6" s="153" t="s">
        <v>441</v>
      </c>
      <c r="E6" s="139" t="s">
        <v>56</v>
      </c>
      <c r="F6" s="154" t="s">
        <v>278</v>
      </c>
      <c r="G6" s="155"/>
      <c r="H6" s="155"/>
      <c r="I6" s="155"/>
      <c r="J6" s="156"/>
      <c r="K6" s="137" t="s">
        <v>279</v>
      </c>
      <c r="L6" s="140"/>
      <c r="M6" s="140"/>
      <c r="N6" s="140"/>
      <c r="O6" s="140"/>
      <c r="P6" s="140"/>
      <c r="Q6" s="137" t="s">
        <v>0</v>
      </c>
      <c r="T6" s="37"/>
    </row>
    <row r="7" spans="1:20" s="36" customFormat="1" ht="25.2" customHeight="1">
      <c r="A7" s="149"/>
      <c r="B7" s="151"/>
      <c r="C7" s="149"/>
      <c r="D7" s="153"/>
      <c r="E7" s="139"/>
      <c r="F7" s="137" t="s">
        <v>197</v>
      </c>
      <c r="G7" s="137" t="s">
        <v>46</v>
      </c>
      <c r="H7" s="136" t="s">
        <v>25</v>
      </c>
      <c r="I7" s="136"/>
      <c r="J7" s="137" t="s">
        <v>47</v>
      </c>
      <c r="K7" s="137" t="s">
        <v>197</v>
      </c>
      <c r="L7" s="137" t="s">
        <v>280</v>
      </c>
      <c r="M7" s="137" t="s">
        <v>48</v>
      </c>
      <c r="N7" s="136" t="s">
        <v>25</v>
      </c>
      <c r="O7" s="136"/>
      <c r="P7" s="137" t="s">
        <v>49</v>
      </c>
      <c r="Q7" s="137"/>
      <c r="T7" s="37"/>
    </row>
    <row r="8" spans="1:20" s="36" customFormat="1" ht="16.5" customHeight="1">
      <c r="A8" s="149"/>
      <c r="B8" s="151"/>
      <c r="C8" s="149"/>
      <c r="D8" s="153"/>
      <c r="E8" s="139"/>
      <c r="F8" s="137"/>
      <c r="G8" s="137"/>
      <c r="H8" s="137" t="s">
        <v>465</v>
      </c>
      <c r="I8" s="137" t="s">
        <v>20</v>
      </c>
      <c r="J8" s="137"/>
      <c r="K8" s="137"/>
      <c r="L8" s="138"/>
      <c r="M8" s="138"/>
      <c r="N8" s="137" t="s">
        <v>466</v>
      </c>
      <c r="O8" s="137" t="s">
        <v>20</v>
      </c>
      <c r="P8" s="138"/>
      <c r="Q8" s="137"/>
      <c r="T8" s="37"/>
    </row>
    <row r="9" spans="1:20" s="36" customFormat="1" ht="106.2" customHeight="1">
      <c r="A9" s="149"/>
      <c r="B9" s="152"/>
      <c r="C9" s="149"/>
      <c r="D9" s="153"/>
      <c r="E9" s="139"/>
      <c r="F9" s="137"/>
      <c r="G9" s="137"/>
      <c r="H9" s="137"/>
      <c r="I9" s="137"/>
      <c r="J9" s="137"/>
      <c r="K9" s="137"/>
      <c r="L9" s="138"/>
      <c r="M9" s="138"/>
      <c r="N9" s="137"/>
      <c r="O9" s="137"/>
      <c r="P9" s="138"/>
      <c r="Q9" s="137"/>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6" t="s">
        <v>114</v>
      </c>
      <c r="B11" s="56" t="s">
        <v>114</v>
      </c>
      <c r="C11" s="57"/>
      <c r="D11" s="58" t="s">
        <v>110</v>
      </c>
      <c r="E11" s="57" t="s">
        <v>1</v>
      </c>
      <c r="F11" s="59">
        <f>F12</f>
        <v>70418039</v>
      </c>
      <c r="G11" s="59">
        <f>G12</f>
        <v>69623206</v>
      </c>
      <c r="H11" s="59">
        <f t="shared" ref="H11:P11" si="0">H12</f>
        <v>26040500</v>
      </c>
      <c r="I11" s="59">
        <f t="shared" si="0"/>
        <v>955340</v>
      </c>
      <c r="J11" s="59">
        <f t="shared" si="0"/>
        <v>794833</v>
      </c>
      <c r="K11" s="59">
        <f t="shared" si="0"/>
        <v>21264235</v>
      </c>
      <c r="L11" s="59">
        <f t="shared" si="0"/>
        <v>21234235</v>
      </c>
      <c r="M11" s="59">
        <f t="shared" si="0"/>
        <v>30000</v>
      </c>
      <c r="N11" s="59">
        <f t="shared" si="0"/>
        <v>0</v>
      </c>
      <c r="O11" s="59">
        <f t="shared" si="0"/>
        <v>0</v>
      </c>
      <c r="P11" s="59">
        <f t="shared" si="0"/>
        <v>21234235</v>
      </c>
      <c r="Q11" s="59">
        <f t="shared" ref="Q11:Q88" si="1">F11+K11</f>
        <v>91682274</v>
      </c>
      <c r="T11" s="16"/>
    </row>
    <row r="12" spans="1:20" s="15" customFormat="1" ht="52.2" customHeight="1">
      <c r="A12" s="60" t="s">
        <v>115</v>
      </c>
      <c r="B12" s="60" t="s">
        <v>115</v>
      </c>
      <c r="C12" s="61"/>
      <c r="D12" s="62" t="s">
        <v>110</v>
      </c>
      <c r="E12" s="61"/>
      <c r="F12" s="63">
        <f t="shared" ref="F12:P12" si="2">SUM(F13:F48)</f>
        <v>70418039</v>
      </c>
      <c r="G12" s="63">
        <f>SUM(G13:G48)</f>
        <v>69623206</v>
      </c>
      <c r="H12" s="63">
        <f t="shared" si="2"/>
        <v>26040500</v>
      </c>
      <c r="I12" s="63">
        <f t="shared" si="2"/>
        <v>955340</v>
      </c>
      <c r="J12" s="63">
        <f t="shared" si="2"/>
        <v>794833</v>
      </c>
      <c r="K12" s="63">
        <f>SUM(K13:K48)</f>
        <v>21264235</v>
      </c>
      <c r="L12" s="63">
        <f>SUM(L13:L48)</f>
        <v>21234235</v>
      </c>
      <c r="M12" s="63">
        <f t="shared" si="2"/>
        <v>30000</v>
      </c>
      <c r="N12" s="63">
        <f t="shared" si="2"/>
        <v>0</v>
      </c>
      <c r="O12" s="63">
        <f t="shared" si="2"/>
        <v>0</v>
      </c>
      <c r="P12" s="63">
        <f t="shared" si="2"/>
        <v>21234235</v>
      </c>
      <c r="Q12" s="63">
        <f t="shared" si="1"/>
        <v>91682274</v>
      </c>
      <c r="R12" s="38"/>
      <c r="T12" s="16"/>
    </row>
    <row r="13" spans="1:20" s="17" customFormat="1" ht="75.599999999999994" customHeight="1">
      <c r="A13" s="52" t="s">
        <v>116</v>
      </c>
      <c r="B13" s="52" t="s">
        <v>326</v>
      </c>
      <c r="C13" s="52" t="s">
        <v>58</v>
      </c>
      <c r="D13" s="109" t="s">
        <v>475</v>
      </c>
      <c r="E13" s="3" t="s">
        <v>2</v>
      </c>
      <c r="F13" s="86">
        <f t="shared" ref="F13:F91" si="3">G13+J13</f>
        <v>31899610</v>
      </c>
      <c r="G13" s="86">
        <f>25644400+1000000+150000+1500000+52250+28500-49000+49000+49900+48000+6900+1330000+49900+100000-600000+2102500+140000+48700+49860+198700</f>
        <v>31899610</v>
      </c>
      <c r="H13" s="87">
        <f>18826000+1200000+1110000+1730000</f>
        <v>22866000</v>
      </c>
      <c r="I13" s="87">
        <f>688400+10000+140000</f>
        <v>838400</v>
      </c>
      <c r="J13" s="87"/>
      <c r="K13" s="86">
        <f t="shared" ref="K13:K48" si="4">M13+P13</f>
        <v>1449700</v>
      </c>
      <c r="L13" s="86">
        <f>60000+186500+600000+49000+67000+310000+49900+52000+45300</f>
        <v>1419700</v>
      </c>
      <c r="M13" s="86">
        <v>30000</v>
      </c>
      <c r="N13" s="86"/>
      <c r="O13" s="87"/>
      <c r="P13" s="87">
        <f>L13</f>
        <v>1419700</v>
      </c>
      <c r="Q13" s="63">
        <f t="shared" si="1"/>
        <v>33349310</v>
      </c>
      <c r="T13" s="14"/>
    </row>
    <row r="14" spans="1:20" s="17" customFormat="1" ht="45" customHeight="1">
      <c r="A14" s="52" t="s">
        <v>134</v>
      </c>
      <c r="B14" s="52" t="s">
        <v>266</v>
      </c>
      <c r="C14" s="52" t="s">
        <v>69</v>
      </c>
      <c r="D14" s="109" t="s">
        <v>135</v>
      </c>
      <c r="E14" s="3"/>
      <c r="F14" s="86">
        <f t="shared" si="3"/>
        <v>1662800</v>
      </c>
      <c r="G14" s="86">
        <f>210000+70000+400000+503000+1000+300000+144500+30000+50000+45000-92500+50000-99300+16100+5000+30000</f>
        <v>1662800</v>
      </c>
      <c r="H14" s="87"/>
      <c r="I14" s="87"/>
      <c r="J14" s="87"/>
      <c r="K14" s="86">
        <f t="shared" si="4"/>
        <v>0</v>
      </c>
      <c r="L14" s="86">
        <f>16100-16100</f>
        <v>0</v>
      </c>
      <c r="M14" s="86"/>
      <c r="N14" s="86"/>
      <c r="O14" s="87"/>
      <c r="P14" s="87">
        <f>L14</f>
        <v>0</v>
      </c>
      <c r="Q14" s="63">
        <f t="shared" si="1"/>
        <v>1662800</v>
      </c>
      <c r="T14" s="14"/>
    </row>
    <row r="15" spans="1:20" s="15" customFormat="1" ht="44.4" customHeight="1">
      <c r="A15" s="52" t="s">
        <v>117</v>
      </c>
      <c r="B15" s="52" t="s">
        <v>327</v>
      </c>
      <c r="C15" s="64" t="s">
        <v>59</v>
      </c>
      <c r="D15" s="110" t="s">
        <v>85</v>
      </c>
      <c r="E15" s="7" t="s">
        <v>57</v>
      </c>
      <c r="F15" s="86">
        <f t="shared" si="3"/>
        <v>8861200</v>
      </c>
      <c r="G15" s="86">
        <f>5800000+553200+43000+1500000-43000+908000+41000+59000</f>
        <v>8861200</v>
      </c>
      <c r="H15" s="87"/>
      <c r="I15" s="87"/>
      <c r="J15" s="87"/>
      <c r="K15" s="86">
        <f t="shared" si="4"/>
        <v>9440000</v>
      </c>
      <c r="L15" s="86">
        <f>7070000+90000+3080000-800000</f>
        <v>9440000</v>
      </c>
      <c r="M15" s="86"/>
      <c r="N15" s="86"/>
      <c r="O15" s="87"/>
      <c r="P15" s="88">
        <f>L15</f>
        <v>9440000</v>
      </c>
      <c r="Q15" s="63">
        <f t="shared" si="1"/>
        <v>18301200</v>
      </c>
      <c r="T15" s="16"/>
    </row>
    <row r="16" spans="1:20" s="15" customFormat="1" ht="72" customHeight="1">
      <c r="A16" s="52" t="s">
        <v>122</v>
      </c>
      <c r="B16" s="52" t="s">
        <v>328</v>
      </c>
      <c r="C16" s="52" t="s">
        <v>60</v>
      </c>
      <c r="D16" s="111" t="s">
        <v>86</v>
      </c>
      <c r="E16" s="5" t="s">
        <v>52</v>
      </c>
      <c r="F16" s="86">
        <f>G16+J16</f>
        <v>6076985</v>
      </c>
      <c r="G16" s="86">
        <f>4200000+60000+1557200+259785</f>
        <v>6076985</v>
      </c>
      <c r="H16" s="87"/>
      <c r="I16" s="87"/>
      <c r="J16" s="87"/>
      <c r="K16" s="86">
        <f t="shared" si="4"/>
        <v>3200215</v>
      </c>
      <c r="L16" s="86">
        <f>3460000-259785</f>
        <v>3200215</v>
      </c>
      <c r="M16" s="86"/>
      <c r="N16" s="86"/>
      <c r="O16" s="87"/>
      <c r="P16" s="87">
        <f>L16</f>
        <v>3200215</v>
      </c>
      <c r="Q16" s="63">
        <f t="shared" si="1"/>
        <v>9277200</v>
      </c>
      <c r="T16" s="16"/>
    </row>
    <row r="17" spans="1:20" s="15" customFormat="1" ht="46.2" customHeight="1">
      <c r="A17" s="52" t="s">
        <v>121</v>
      </c>
      <c r="B17" s="52" t="s">
        <v>329</v>
      </c>
      <c r="C17" s="52" t="s">
        <v>61</v>
      </c>
      <c r="D17" s="112" t="s">
        <v>105</v>
      </c>
      <c r="E17" s="5"/>
      <c r="F17" s="86">
        <f>G17+J17</f>
        <v>1548540</v>
      </c>
      <c r="G17" s="86">
        <f>2570000+25500+22940+1900+685396-1500000-285396+26700+1500</f>
        <v>1548540</v>
      </c>
      <c r="H17" s="87"/>
      <c r="I17" s="87"/>
      <c r="J17" s="87"/>
      <c r="K17" s="86">
        <f t="shared" si="4"/>
        <v>496917</v>
      </c>
      <c r="L17" s="86">
        <f>330000+48817+120000-1900</f>
        <v>496917</v>
      </c>
      <c r="M17" s="86"/>
      <c r="N17" s="86"/>
      <c r="O17" s="87"/>
      <c r="P17" s="88">
        <f>L17</f>
        <v>496917</v>
      </c>
      <c r="Q17" s="63">
        <f t="shared" si="1"/>
        <v>2045457</v>
      </c>
      <c r="T17" s="16"/>
    </row>
    <row r="18" spans="1:20" s="15" customFormat="1" ht="81.599999999999994" customHeight="1">
      <c r="A18" s="52" t="s">
        <v>209</v>
      </c>
      <c r="B18" s="52" t="s">
        <v>330</v>
      </c>
      <c r="C18" s="52" t="s">
        <v>210</v>
      </c>
      <c r="D18" s="112" t="s">
        <v>450</v>
      </c>
      <c r="E18" s="5"/>
      <c r="F18" s="86">
        <f>G18+J18</f>
        <v>3506000</v>
      </c>
      <c r="G18" s="86">
        <f>3320000+136000+50000</f>
        <v>3506000</v>
      </c>
      <c r="H18" s="87"/>
      <c r="I18" s="87"/>
      <c r="J18" s="87"/>
      <c r="K18" s="86">
        <f t="shared" si="4"/>
        <v>0</v>
      </c>
      <c r="L18" s="86"/>
      <c r="M18" s="86"/>
      <c r="N18" s="86"/>
      <c r="O18" s="87"/>
      <c r="P18" s="87"/>
      <c r="Q18" s="63">
        <f t="shared" si="1"/>
        <v>3506000</v>
      </c>
      <c r="T18" s="16"/>
    </row>
    <row r="19" spans="1:20" s="15" customFormat="1" ht="57" customHeight="1">
      <c r="A19" s="52" t="s">
        <v>118</v>
      </c>
      <c r="B19" s="52" t="s">
        <v>331</v>
      </c>
      <c r="C19" s="52" t="s">
        <v>62</v>
      </c>
      <c r="D19" s="112" t="s">
        <v>107</v>
      </c>
      <c r="E19" s="5"/>
      <c r="F19" s="86">
        <f t="shared" si="3"/>
        <v>132500</v>
      </c>
      <c r="G19" s="86">
        <f>50000+82500</f>
        <v>132500</v>
      </c>
      <c r="H19" s="87"/>
      <c r="I19" s="87"/>
      <c r="J19" s="87"/>
      <c r="K19" s="86">
        <f t="shared" si="4"/>
        <v>0</v>
      </c>
      <c r="L19" s="86"/>
      <c r="M19" s="86"/>
      <c r="N19" s="86"/>
      <c r="O19" s="87"/>
      <c r="P19" s="88"/>
      <c r="Q19" s="63">
        <f t="shared" si="1"/>
        <v>132500</v>
      </c>
      <c r="T19" s="16"/>
    </row>
    <row r="20" spans="1:20" s="15" customFormat="1" ht="51" customHeight="1">
      <c r="A20" s="52" t="s">
        <v>119</v>
      </c>
      <c r="B20" s="52" t="s">
        <v>332</v>
      </c>
      <c r="C20" s="52" t="s">
        <v>62</v>
      </c>
      <c r="D20" s="112" t="s">
        <v>106</v>
      </c>
      <c r="E20" s="5"/>
      <c r="F20" s="86">
        <f t="shared" si="3"/>
        <v>200000</v>
      </c>
      <c r="G20" s="86">
        <f>200000</f>
        <v>200000</v>
      </c>
      <c r="H20" s="87"/>
      <c r="I20" s="87"/>
      <c r="J20" s="87"/>
      <c r="K20" s="86">
        <f t="shared" si="4"/>
        <v>0</v>
      </c>
      <c r="L20" s="86"/>
      <c r="M20" s="86"/>
      <c r="N20" s="86"/>
      <c r="O20" s="87"/>
      <c r="P20" s="88"/>
      <c r="Q20" s="63">
        <f t="shared" si="1"/>
        <v>200000</v>
      </c>
      <c r="T20" s="16"/>
    </row>
    <row r="21" spans="1:20" s="15" customFormat="1" ht="57" customHeight="1">
      <c r="A21" s="52" t="s">
        <v>120</v>
      </c>
      <c r="B21" s="52" t="s">
        <v>333</v>
      </c>
      <c r="C21" s="52" t="s">
        <v>62</v>
      </c>
      <c r="D21" s="112" t="s">
        <v>108</v>
      </c>
      <c r="E21" s="5"/>
      <c r="F21" s="86">
        <f t="shared" si="3"/>
        <v>20000</v>
      </c>
      <c r="G21" s="86">
        <f>20000</f>
        <v>20000</v>
      </c>
      <c r="H21" s="87"/>
      <c r="I21" s="87"/>
      <c r="J21" s="87"/>
      <c r="K21" s="86">
        <f t="shared" si="4"/>
        <v>0</v>
      </c>
      <c r="L21" s="86"/>
      <c r="M21" s="86"/>
      <c r="N21" s="86"/>
      <c r="O21" s="87"/>
      <c r="P21" s="88"/>
      <c r="Q21" s="63">
        <f t="shared" si="1"/>
        <v>20000</v>
      </c>
      <c r="T21" s="16"/>
    </row>
    <row r="22" spans="1:20" s="15" customFormat="1" ht="71.400000000000006" customHeight="1">
      <c r="A22" s="52" t="s">
        <v>123</v>
      </c>
      <c r="B22" s="52" t="s">
        <v>334</v>
      </c>
      <c r="C22" s="52" t="s">
        <v>62</v>
      </c>
      <c r="D22" s="112" t="s">
        <v>211</v>
      </c>
      <c r="E22" s="5"/>
      <c r="F22" s="86">
        <f>G22+J22</f>
        <v>4289800</v>
      </c>
      <c r="G22" s="86">
        <f>1500000+993900-993900+2193200+1096600-500000</f>
        <v>4289800</v>
      </c>
      <c r="H22" s="87"/>
      <c r="I22" s="87"/>
      <c r="J22" s="87"/>
      <c r="K22" s="86">
        <f t="shared" si="4"/>
        <v>0</v>
      </c>
      <c r="L22" s="86"/>
      <c r="M22" s="86"/>
      <c r="N22" s="86"/>
      <c r="O22" s="87"/>
      <c r="P22" s="87"/>
      <c r="Q22" s="63">
        <f t="shared" si="1"/>
        <v>4289800</v>
      </c>
      <c r="T22" s="16"/>
    </row>
    <row r="23" spans="1:20" s="15" customFormat="1" ht="55.5" hidden="1" customHeight="1">
      <c r="A23" s="52" t="s">
        <v>227</v>
      </c>
      <c r="B23" s="52" t="s">
        <v>335</v>
      </c>
      <c r="C23" s="52" t="s">
        <v>62</v>
      </c>
      <c r="D23" s="112" t="s">
        <v>238</v>
      </c>
      <c r="E23" s="5"/>
      <c r="F23" s="86">
        <f>G23+J23</f>
        <v>0</v>
      </c>
      <c r="G23" s="86"/>
      <c r="H23" s="87"/>
      <c r="I23" s="87"/>
      <c r="J23" s="87"/>
      <c r="K23" s="86">
        <f t="shared" si="4"/>
        <v>0</v>
      </c>
      <c r="L23" s="86"/>
      <c r="M23" s="86"/>
      <c r="N23" s="86"/>
      <c r="O23" s="87"/>
      <c r="P23" s="87"/>
      <c r="Q23" s="63">
        <f t="shared" si="1"/>
        <v>0</v>
      </c>
      <c r="T23" s="16"/>
    </row>
    <row r="24" spans="1:20" s="15" customFormat="1" ht="55.5" hidden="1" customHeight="1">
      <c r="A24" s="52" t="s">
        <v>212</v>
      </c>
      <c r="B24" s="52" t="s">
        <v>336</v>
      </c>
      <c r="C24" s="52" t="s">
        <v>62</v>
      </c>
      <c r="D24" s="111" t="s">
        <v>281</v>
      </c>
      <c r="E24" s="5"/>
      <c r="F24" s="86">
        <f t="shared" si="3"/>
        <v>0</v>
      </c>
      <c r="G24" s="86"/>
      <c r="H24" s="87"/>
      <c r="I24" s="87"/>
      <c r="J24" s="87"/>
      <c r="K24" s="86">
        <f t="shared" si="4"/>
        <v>0</v>
      </c>
      <c r="L24" s="86"/>
      <c r="M24" s="86"/>
      <c r="N24" s="86"/>
      <c r="O24" s="87"/>
      <c r="P24" s="87"/>
      <c r="Q24" s="63">
        <f t="shared" si="1"/>
        <v>0</v>
      </c>
      <c r="T24" s="16"/>
    </row>
    <row r="25" spans="1:20" s="15" customFormat="1" ht="55.95" customHeight="1">
      <c r="A25" s="52" t="s">
        <v>213</v>
      </c>
      <c r="B25" s="52" t="s">
        <v>337</v>
      </c>
      <c r="C25" s="52" t="s">
        <v>62</v>
      </c>
      <c r="D25" s="111" t="s">
        <v>282</v>
      </c>
      <c r="E25" s="5"/>
      <c r="F25" s="86">
        <f t="shared" si="3"/>
        <v>200000</v>
      </c>
      <c r="G25" s="86">
        <f>50000+260000-82500-27500</f>
        <v>200000</v>
      </c>
      <c r="H25" s="87"/>
      <c r="I25" s="87"/>
      <c r="J25" s="87"/>
      <c r="K25" s="86">
        <f t="shared" si="4"/>
        <v>0</v>
      </c>
      <c r="L25" s="86"/>
      <c r="M25" s="86"/>
      <c r="N25" s="86"/>
      <c r="O25" s="87"/>
      <c r="P25" s="87"/>
      <c r="Q25" s="63">
        <f t="shared" si="1"/>
        <v>200000</v>
      </c>
      <c r="T25" s="16"/>
    </row>
    <row r="26" spans="1:20" s="6" customFormat="1" ht="57.6" customHeight="1">
      <c r="A26" s="52" t="s">
        <v>124</v>
      </c>
      <c r="B26" s="52" t="s">
        <v>338</v>
      </c>
      <c r="C26" s="52" t="s">
        <v>64</v>
      </c>
      <c r="D26" s="111" t="s">
        <v>87</v>
      </c>
      <c r="E26" s="5" t="s">
        <v>37</v>
      </c>
      <c r="F26" s="86">
        <f t="shared" si="3"/>
        <v>224775</v>
      </c>
      <c r="G26" s="86">
        <f>30000+194775</f>
        <v>224775</v>
      </c>
      <c r="H26" s="87"/>
      <c r="I26" s="87"/>
      <c r="J26" s="87"/>
      <c r="K26" s="86">
        <f t="shared" si="4"/>
        <v>0</v>
      </c>
      <c r="L26" s="86"/>
      <c r="M26" s="86"/>
      <c r="N26" s="86"/>
      <c r="O26" s="87"/>
      <c r="P26" s="87"/>
      <c r="Q26" s="63">
        <f t="shared" si="1"/>
        <v>224775</v>
      </c>
      <c r="T26" s="14"/>
    </row>
    <row r="27" spans="1:20" s="6" customFormat="1" ht="62.4" customHeight="1">
      <c r="A27" s="65" t="s">
        <v>125</v>
      </c>
      <c r="B27" s="65" t="s">
        <v>447</v>
      </c>
      <c r="C27" s="65" t="s">
        <v>64</v>
      </c>
      <c r="D27" s="55" t="s">
        <v>531</v>
      </c>
      <c r="E27" s="5" t="s">
        <v>35</v>
      </c>
      <c r="F27" s="86">
        <f t="shared" si="3"/>
        <v>4050800</v>
      </c>
      <c r="G27" s="86">
        <f>3850800+200000</f>
        <v>4050800</v>
      </c>
      <c r="H27" s="87">
        <f>3011500+163000</f>
        <v>3174500</v>
      </c>
      <c r="I27" s="87">
        <v>114400</v>
      </c>
      <c r="J27" s="87"/>
      <c r="K27" s="86">
        <f t="shared" si="4"/>
        <v>19000</v>
      </c>
      <c r="L27" s="86">
        <f>10000+9000</f>
        <v>19000</v>
      </c>
      <c r="M27" s="86"/>
      <c r="N27" s="86"/>
      <c r="O27" s="87"/>
      <c r="P27" s="87">
        <f>L27</f>
        <v>19000</v>
      </c>
      <c r="Q27" s="63">
        <f t="shared" si="1"/>
        <v>4069800</v>
      </c>
      <c r="T27" s="14"/>
    </row>
    <row r="28" spans="1:20" s="6" customFormat="1" ht="76.2" customHeight="1">
      <c r="A28" s="52" t="s">
        <v>126</v>
      </c>
      <c r="B28" s="52" t="s">
        <v>339</v>
      </c>
      <c r="C28" s="52" t="s">
        <v>64</v>
      </c>
      <c r="D28" s="55" t="s">
        <v>88</v>
      </c>
      <c r="E28" s="5"/>
      <c r="F28" s="86">
        <f>G28+J28</f>
        <v>15000</v>
      </c>
      <c r="G28" s="86">
        <f>15000</f>
        <v>15000</v>
      </c>
      <c r="H28" s="87"/>
      <c r="I28" s="87"/>
      <c r="J28" s="87"/>
      <c r="K28" s="86">
        <f t="shared" si="4"/>
        <v>0</v>
      </c>
      <c r="L28" s="86"/>
      <c r="M28" s="86"/>
      <c r="N28" s="86"/>
      <c r="O28" s="87"/>
      <c r="P28" s="87"/>
      <c r="Q28" s="63">
        <f t="shared" si="1"/>
        <v>15000</v>
      </c>
      <c r="T28" s="14"/>
    </row>
    <row r="29" spans="1:20" s="6" customFormat="1" ht="89.4" customHeight="1">
      <c r="A29" s="52" t="s">
        <v>554</v>
      </c>
      <c r="B29" s="52" t="s">
        <v>555</v>
      </c>
      <c r="C29" s="134" t="s">
        <v>64</v>
      </c>
      <c r="D29" s="55" t="s">
        <v>556</v>
      </c>
      <c r="E29" s="5"/>
      <c r="F29" s="86">
        <f>G29+J29</f>
        <v>58600</v>
      </c>
      <c r="G29" s="86">
        <v>58600</v>
      </c>
      <c r="H29" s="87"/>
      <c r="I29" s="87"/>
      <c r="J29" s="87"/>
      <c r="K29" s="86">
        <f t="shared" si="4"/>
        <v>232465</v>
      </c>
      <c r="L29" s="86">
        <v>232465</v>
      </c>
      <c r="M29" s="86"/>
      <c r="N29" s="86"/>
      <c r="O29" s="87"/>
      <c r="P29" s="87">
        <f>L29</f>
        <v>232465</v>
      </c>
      <c r="Q29" s="63">
        <f t="shared" si="1"/>
        <v>291065</v>
      </c>
      <c r="T29" s="14"/>
    </row>
    <row r="30" spans="1:20" s="6" customFormat="1" ht="91.2" customHeight="1">
      <c r="A30" s="52" t="s">
        <v>127</v>
      </c>
      <c r="B30" s="52" t="s">
        <v>340</v>
      </c>
      <c r="C30" s="52" t="s">
        <v>64</v>
      </c>
      <c r="D30" s="111" t="s">
        <v>109</v>
      </c>
      <c r="E30" s="5" t="s">
        <v>15</v>
      </c>
      <c r="F30" s="86">
        <f t="shared" si="3"/>
        <v>70000</v>
      </c>
      <c r="G30" s="86">
        <f>40000+30000</f>
        <v>70000</v>
      </c>
      <c r="H30" s="87"/>
      <c r="I30" s="87"/>
      <c r="J30" s="87"/>
      <c r="K30" s="86">
        <f t="shared" si="4"/>
        <v>0</v>
      </c>
      <c r="L30" s="86"/>
      <c r="M30" s="86"/>
      <c r="N30" s="86"/>
      <c r="O30" s="87"/>
      <c r="P30" s="87"/>
      <c r="Q30" s="63">
        <f t="shared" si="1"/>
        <v>70000</v>
      </c>
      <c r="T30" s="14"/>
    </row>
    <row r="31" spans="1:20" s="6" customFormat="1" ht="54.75" customHeight="1">
      <c r="A31" s="52" t="s">
        <v>321</v>
      </c>
      <c r="B31" s="52" t="s">
        <v>341</v>
      </c>
      <c r="C31" s="52" t="s">
        <v>64</v>
      </c>
      <c r="D31" s="111" t="s">
        <v>322</v>
      </c>
      <c r="E31" s="5"/>
      <c r="F31" s="86">
        <f t="shared" si="3"/>
        <v>826281</v>
      </c>
      <c r="G31" s="86">
        <f>735000+36500-16719+51500+20000</f>
        <v>826281</v>
      </c>
      <c r="H31" s="87"/>
      <c r="I31" s="87"/>
      <c r="J31" s="87"/>
      <c r="K31" s="86">
        <f t="shared" si="4"/>
        <v>80218</v>
      </c>
      <c r="L31" s="86">
        <f>63499+16719</f>
        <v>80218</v>
      </c>
      <c r="M31" s="86"/>
      <c r="N31" s="86"/>
      <c r="O31" s="87"/>
      <c r="P31" s="87">
        <f>L31</f>
        <v>80218</v>
      </c>
      <c r="Q31" s="63">
        <f t="shared" si="1"/>
        <v>906499</v>
      </c>
      <c r="T31" s="14"/>
    </row>
    <row r="32" spans="1:20" s="6" customFormat="1" ht="54.6" customHeight="1">
      <c r="A32" s="52" t="s">
        <v>214</v>
      </c>
      <c r="B32" s="52" t="s">
        <v>342</v>
      </c>
      <c r="C32" s="52" t="s">
        <v>63</v>
      </c>
      <c r="D32" s="111" t="s">
        <v>215</v>
      </c>
      <c r="E32" s="5"/>
      <c r="F32" s="86">
        <f>G32+J32</f>
        <v>2159000</v>
      </c>
      <c r="G32" s="86">
        <f>1955000+72000+132000</f>
        <v>2159000</v>
      </c>
      <c r="H32" s="87"/>
      <c r="I32" s="87"/>
      <c r="J32" s="87"/>
      <c r="K32" s="86">
        <f t="shared" si="4"/>
        <v>0</v>
      </c>
      <c r="L32" s="86"/>
      <c r="M32" s="86"/>
      <c r="N32" s="86"/>
      <c r="O32" s="87"/>
      <c r="P32" s="87"/>
      <c r="Q32" s="63">
        <f t="shared" si="1"/>
        <v>2159000</v>
      </c>
      <c r="T32" s="14"/>
    </row>
    <row r="33" spans="1:20" s="6" customFormat="1" ht="79.2" customHeight="1">
      <c r="A33" s="52" t="s">
        <v>296</v>
      </c>
      <c r="B33" s="52" t="s">
        <v>343</v>
      </c>
      <c r="C33" s="52" t="s">
        <v>295</v>
      </c>
      <c r="D33" s="55" t="s">
        <v>297</v>
      </c>
      <c r="E33" s="5" t="s">
        <v>19</v>
      </c>
      <c r="F33" s="86">
        <f t="shared" si="3"/>
        <v>0</v>
      </c>
      <c r="G33" s="86"/>
      <c r="H33" s="87"/>
      <c r="I33" s="87"/>
      <c r="J33" s="87"/>
      <c r="K33" s="86">
        <f t="shared" si="4"/>
        <v>1450000</v>
      </c>
      <c r="L33" s="86">
        <f>450000+450000+550000</f>
        <v>1450000</v>
      </c>
      <c r="M33" s="86"/>
      <c r="N33" s="86"/>
      <c r="O33" s="87"/>
      <c r="P33" s="87">
        <f t="shared" ref="P33:P38" si="5">L33</f>
        <v>1450000</v>
      </c>
      <c r="Q33" s="63">
        <f t="shared" si="1"/>
        <v>1450000</v>
      </c>
      <c r="T33" s="14"/>
    </row>
    <row r="34" spans="1:20" s="6" customFormat="1" ht="48" customHeight="1">
      <c r="A34" s="52" t="s">
        <v>443</v>
      </c>
      <c r="B34" s="52" t="s">
        <v>406</v>
      </c>
      <c r="C34" s="52" t="s">
        <v>80</v>
      </c>
      <c r="D34" s="55" t="s">
        <v>444</v>
      </c>
      <c r="E34" s="5"/>
      <c r="F34" s="86">
        <f t="shared" si="3"/>
        <v>0</v>
      </c>
      <c r="G34" s="89"/>
      <c r="H34" s="90"/>
      <c r="I34" s="90"/>
      <c r="J34" s="90"/>
      <c r="K34" s="86">
        <f>M34+P34</f>
        <v>1142458</v>
      </c>
      <c r="L34" s="89">
        <f>43000+50000+1024458+25000</f>
        <v>1142458</v>
      </c>
      <c r="M34" s="89"/>
      <c r="N34" s="89"/>
      <c r="O34" s="90"/>
      <c r="P34" s="90">
        <f t="shared" si="5"/>
        <v>1142458</v>
      </c>
      <c r="Q34" s="63">
        <f>F34+K34</f>
        <v>1142458</v>
      </c>
      <c r="T34" s="14"/>
    </row>
    <row r="35" spans="1:20" s="6" customFormat="1" ht="54" customHeight="1">
      <c r="A35" s="52" t="s">
        <v>536</v>
      </c>
      <c r="B35" s="52" t="s">
        <v>459</v>
      </c>
      <c r="C35" s="52" t="s">
        <v>80</v>
      </c>
      <c r="D35" s="113" t="s">
        <v>540</v>
      </c>
      <c r="E35" s="5"/>
      <c r="F35" s="86">
        <f t="shared" si="3"/>
        <v>0</v>
      </c>
      <c r="G35" s="89"/>
      <c r="H35" s="90"/>
      <c r="I35" s="90"/>
      <c r="J35" s="90"/>
      <c r="K35" s="86">
        <f>M35+P35</f>
        <v>74500</v>
      </c>
      <c r="L35" s="89">
        <v>74500</v>
      </c>
      <c r="M35" s="89"/>
      <c r="N35" s="89"/>
      <c r="O35" s="90"/>
      <c r="P35" s="90">
        <f t="shared" si="5"/>
        <v>74500</v>
      </c>
      <c r="Q35" s="63">
        <f>F35+K35</f>
        <v>74500</v>
      </c>
      <c r="T35" s="14"/>
    </row>
    <row r="36" spans="1:20" s="6" customFormat="1" ht="67.95" customHeight="1">
      <c r="A36" s="52" t="s">
        <v>420</v>
      </c>
      <c r="B36" s="52" t="s">
        <v>410</v>
      </c>
      <c r="C36" s="52" t="s">
        <v>80</v>
      </c>
      <c r="D36" s="55" t="s">
        <v>421</v>
      </c>
      <c r="E36" s="5"/>
      <c r="F36" s="86">
        <f>G36+J36</f>
        <v>194000</v>
      </c>
      <c r="G36" s="89">
        <f>47000+49000+49000+49000</f>
        <v>194000</v>
      </c>
      <c r="H36" s="90"/>
      <c r="I36" s="90"/>
      <c r="J36" s="90"/>
      <c r="K36" s="86">
        <f t="shared" si="4"/>
        <v>150000</v>
      </c>
      <c r="L36" s="89">
        <f>500000-350000</f>
        <v>150000</v>
      </c>
      <c r="M36" s="89"/>
      <c r="N36" s="89"/>
      <c r="O36" s="90"/>
      <c r="P36" s="90">
        <f t="shared" si="5"/>
        <v>150000</v>
      </c>
      <c r="Q36" s="63">
        <f t="shared" si="1"/>
        <v>344000</v>
      </c>
      <c r="T36" s="14"/>
    </row>
    <row r="37" spans="1:20" s="6" customFormat="1" ht="90.6" customHeight="1">
      <c r="A37" s="52" t="s">
        <v>202</v>
      </c>
      <c r="B37" s="52" t="s">
        <v>345</v>
      </c>
      <c r="C37" s="52" t="s">
        <v>201</v>
      </c>
      <c r="D37" s="55" t="s">
        <v>449</v>
      </c>
      <c r="E37" s="5"/>
      <c r="F37" s="86">
        <f>G37+J37</f>
        <v>0</v>
      </c>
      <c r="G37" s="89"/>
      <c r="H37" s="90"/>
      <c r="I37" s="90"/>
      <c r="J37" s="90"/>
      <c r="K37" s="86">
        <f>M37+P37</f>
        <v>2000000</v>
      </c>
      <c r="L37" s="89">
        <v>2000000</v>
      </c>
      <c r="M37" s="89"/>
      <c r="N37" s="89"/>
      <c r="O37" s="90"/>
      <c r="P37" s="90">
        <f t="shared" si="5"/>
        <v>2000000</v>
      </c>
      <c r="Q37" s="63">
        <f>F37+K37</f>
        <v>2000000</v>
      </c>
      <c r="T37" s="14"/>
    </row>
    <row r="38" spans="1:20" s="6" customFormat="1" ht="55.2" customHeight="1">
      <c r="A38" s="52" t="s">
        <v>422</v>
      </c>
      <c r="B38" s="52" t="s">
        <v>423</v>
      </c>
      <c r="C38" s="52" t="s">
        <v>424</v>
      </c>
      <c r="D38" s="55" t="s">
        <v>425</v>
      </c>
      <c r="E38" s="5"/>
      <c r="F38" s="86">
        <f>G38+J38</f>
        <v>1041633</v>
      </c>
      <c r="G38" s="86">
        <f>440300+46900-100000+35000+4800+119800</f>
        <v>546800</v>
      </c>
      <c r="H38" s="87"/>
      <c r="I38" s="87"/>
      <c r="J38" s="87">
        <f>525110-15540-14737</f>
        <v>494833</v>
      </c>
      <c r="K38" s="86">
        <f t="shared" si="4"/>
        <v>1480077</v>
      </c>
      <c r="L38" s="86">
        <f>1484800+15540+14737-35000</f>
        <v>1480077</v>
      </c>
      <c r="M38" s="86"/>
      <c r="N38" s="86"/>
      <c r="O38" s="87"/>
      <c r="P38" s="87">
        <f t="shared" si="5"/>
        <v>1480077</v>
      </c>
      <c r="Q38" s="63">
        <f t="shared" si="1"/>
        <v>2521710</v>
      </c>
      <c r="T38" s="14"/>
    </row>
    <row r="39" spans="1:20" s="6" customFormat="1" ht="48" customHeight="1">
      <c r="A39" s="52" t="s">
        <v>131</v>
      </c>
      <c r="B39" s="52" t="s">
        <v>346</v>
      </c>
      <c r="C39" s="52" t="s">
        <v>133</v>
      </c>
      <c r="D39" s="111" t="s">
        <v>132</v>
      </c>
      <c r="E39" s="5"/>
      <c r="F39" s="86">
        <f t="shared" si="3"/>
        <v>205000</v>
      </c>
      <c r="G39" s="89">
        <f>10000-5000</f>
        <v>5000</v>
      </c>
      <c r="H39" s="90"/>
      <c r="I39" s="90"/>
      <c r="J39" s="90">
        <v>200000</v>
      </c>
      <c r="K39" s="86">
        <f t="shared" si="4"/>
        <v>0</v>
      </c>
      <c r="L39" s="89"/>
      <c r="M39" s="89"/>
      <c r="N39" s="89"/>
      <c r="O39" s="90"/>
      <c r="P39" s="90"/>
      <c r="Q39" s="63">
        <f t="shared" si="1"/>
        <v>205000</v>
      </c>
      <c r="T39" s="14"/>
    </row>
    <row r="40" spans="1:20" s="6" customFormat="1" ht="37.950000000000003" customHeight="1">
      <c r="A40" s="52" t="s">
        <v>136</v>
      </c>
      <c r="B40" s="52" t="s">
        <v>347</v>
      </c>
      <c r="C40" s="52" t="s">
        <v>83</v>
      </c>
      <c r="D40" s="111" t="s">
        <v>137</v>
      </c>
      <c r="E40" s="5"/>
      <c r="F40" s="86">
        <f t="shared" si="3"/>
        <v>100000</v>
      </c>
      <c r="G40" s="89"/>
      <c r="H40" s="90"/>
      <c r="I40" s="90"/>
      <c r="J40" s="90">
        <f>200000-100000</f>
        <v>100000</v>
      </c>
      <c r="K40" s="86">
        <f t="shared" si="4"/>
        <v>0</v>
      </c>
      <c r="L40" s="89"/>
      <c r="M40" s="89"/>
      <c r="N40" s="89"/>
      <c r="O40" s="90"/>
      <c r="P40" s="90"/>
      <c r="Q40" s="63">
        <f t="shared" si="1"/>
        <v>100000</v>
      </c>
      <c r="T40" s="14"/>
    </row>
    <row r="41" spans="1:20" s="6" customFormat="1" ht="49.95" customHeight="1">
      <c r="A41" s="52" t="s">
        <v>308</v>
      </c>
      <c r="B41" s="52" t="s">
        <v>348</v>
      </c>
      <c r="C41" s="52" t="s">
        <v>201</v>
      </c>
      <c r="D41" s="55" t="s">
        <v>286</v>
      </c>
      <c r="E41" s="8"/>
      <c r="F41" s="86">
        <f t="shared" si="3"/>
        <v>0</v>
      </c>
      <c r="G41" s="89"/>
      <c r="H41" s="90"/>
      <c r="I41" s="90"/>
      <c r="J41" s="90"/>
      <c r="K41" s="86">
        <f t="shared" si="4"/>
        <v>1000</v>
      </c>
      <c r="L41" s="89">
        <v>1000</v>
      </c>
      <c r="M41" s="89"/>
      <c r="N41" s="89"/>
      <c r="O41" s="90"/>
      <c r="P41" s="90">
        <f>L41</f>
        <v>1000</v>
      </c>
      <c r="Q41" s="63">
        <f t="shared" si="1"/>
        <v>1000</v>
      </c>
      <c r="T41" s="14"/>
    </row>
    <row r="42" spans="1:20" s="6" customFormat="1" ht="51.6" customHeight="1">
      <c r="A42" s="52" t="s">
        <v>274</v>
      </c>
      <c r="B42" s="52" t="s">
        <v>349</v>
      </c>
      <c r="C42" s="52" t="s">
        <v>201</v>
      </c>
      <c r="D42" s="111" t="s">
        <v>275</v>
      </c>
      <c r="E42" s="5"/>
      <c r="F42" s="86">
        <f t="shared" si="3"/>
        <v>83900</v>
      </c>
      <c r="G42" s="89">
        <f>73900+10000</f>
        <v>83900</v>
      </c>
      <c r="H42" s="90"/>
      <c r="I42" s="90"/>
      <c r="J42" s="90"/>
      <c r="K42" s="86">
        <f t="shared" si="4"/>
        <v>0</v>
      </c>
      <c r="L42" s="89"/>
      <c r="M42" s="89"/>
      <c r="N42" s="89"/>
      <c r="O42" s="90"/>
      <c r="P42" s="90"/>
      <c r="Q42" s="63">
        <f t="shared" si="1"/>
        <v>83900</v>
      </c>
      <c r="T42" s="14"/>
    </row>
    <row r="43" spans="1:20" s="6" customFormat="1" ht="79.2" customHeight="1">
      <c r="A43" s="52" t="s">
        <v>128</v>
      </c>
      <c r="B43" s="52" t="s">
        <v>350</v>
      </c>
      <c r="C43" s="52" t="s">
        <v>68</v>
      </c>
      <c r="D43" s="55" t="s">
        <v>254</v>
      </c>
      <c r="E43" s="5"/>
      <c r="F43" s="89">
        <f t="shared" si="3"/>
        <v>86615</v>
      </c>
      <c r="G43" s="89">
        <f>134300-47685</f>
        <v>86615</v>
      </c>
      <c r="H43" s="90"/>
      <c r="I43" s="90"/>
      <c r="J43" s="90"/>
      <c r="K43" s="86">
        <f t="shared" si="4"/>
        <v>47685</v>
      </c>
      <c r="L43" s="89">
        <f>47685</f>
        <v>47685</v>
      </c>
      <c r="M43" s="89"/>
      <c r="N43" s="89"/>
      <c r="O43" s="90"/>
      <c r="P43" s="90">
        <f>L43</f>
        <v>47685</v>
      </c>
      <c r="Q43" s="63">
        <f t="shared" si="1"/>
        <v>134300</v>
      </c>
      <c r="T43" s="14"/>
    </row>
    <row r="44" spans="1:20" s="6" customFormat="1" ht="51" customHeight="1">
      <c r="A44" s="65" t="s">
        <v>472</v>
      </c>
      <c r="B44" s="65" t="s">
        <v>473</v>
      </c>
      <c r="C44" s="65" t="s">
        <v>428</v>
      </c>
      <c r="D44" s="114" t="s">
        <v>474</v>
      </c>
      <c r="E44" s="5"/>
      <c r="F44" s="89">
        <f t="shared" si="3"/>
        <v>2205000</v>
      </c>
      <c r="G44" s="89">
        <f>1400000+355000+450000</f>
        <v>2205000</v>
      </c>
      <c r="H44" s="90"/>
      <c r="I44" s="90"/>
      <c r="J44" s="90"/>
      <c r="K44" s="86">
        <f t="shared" si="4"/>
        <v>0</v>
      </c>
      <c r="L44" s="89"/>
      <c r="M44" s="89"/>
      <c r="N44" s="89"/>
      <c r="O44" s="90"/>
      <c r="P44" s="90"/>
      <c r="Q44" s="63">
        <f t="shared" si="1"/>
        <v>2205000</v>
      </c>
      <c r="T44" s="14"/>
    </row>
    <row r="45" spans="1:20" s="6" customFormat="1" ht="52.2" customHeight="1">
      <c r="A45" s="65" t="s">
        <v>426</v>
      </c>
      <c r="B45" s="65" t="s">
        <v>427</v>
      </c>
      <c r="C45" s="65" t="s">
        <v>428</v>
      </c>
      <c r="D45" s="114" t="s">
        <v>429</v>
      </c>
      <c r="E45" s="5" t="s">
        <v>4</v>
      </c>
      <c r="F45" s="89">
        <f>G45+J45</f>
        <v>345000</v>
      </c>
      <c r="G45" s="89">
        <f>300000+45000</f>
        <v>345000</v>
      </c>
      <c r="H45" s="90"/>
      <c r="I45" s="90">
        <v>2540</v>
      </c>
      <c r="J45" s="90"/>
      <c r="K45" s="86">
        <f t="shared" si="4"/>
        <v>0</v>
      </c>
      <c r="L45" s="89"/>
      <c r="M45" s="89"/>
      <c r="N45" s="89"/>
      <c r="O45" s="90"/>
      <c r="P45" s="90"/>
      <c r="Q45" s="63">
        <f t="shared" si="1"/>
        <v>345000</v>
      </c>
      <c r="T45" s="14"/>
    </row>
    <row r="46" spans="1:20" s="6" customFormat="1" ht="34.200000000000003" hidden="1" customHeight="1">
      <c r="A46" s="65" t="s">
        <v>129</v>
      </c>
      <c r="B46" s="65" t="s">
        <v>351</v>
      </c>
      <c r="C46" s="65" t="s">
        <v>66</v>
      </c>
      <c r="D46" s="114" t="s">
        <v>111</v>
      </c>
      <c r="E46" s="5" t="s">
        <v>4</v>
      </c>
      <c r="F46" s="89">
        <f t="shared" si="3"/>
        <v>0</v>
      </c>
      <c r="G46" s="89"/>
      <c r="H46" s="90"/>
      <c r="I46" s="90"/>
      <c r="J46" s="90"/>
      <c r="K46" s="86">
        <f t="shared" si="4"/>
        <v>0</v>
      </c>
      <c r="L46" s="89"/>
      <c r="M46" s="89"/>
      <c r="N46" s="89"/>
      <c r="O46" s="90"/>
      <c r="P46" s="90"/>
      <c r="Q46" s="63">
        <f t="shared" si="1"/>
        <v>0</v>
      </c>
      <c r="T46" s="14"/>
    </row>
    <row r="47" spans="1:20" s="6" customFormat="1" ht="32.4" hidden="1" customHeight="1">
      <c r="A47" s="52" t="s">
        <v>130</v>
      </c>
      <c r="B47" s="52" t="s">
        <v>352</v>
      </c>
      <c r="C47" s="52" t="s">
        <v>66</v>
      </c>
      <c r="D47" s="111" t="s">
        <v>113</v>
      </c>
      <c r="E47" s="39"/>
      <c r="F47" s="86">
        <f>G47+J47</f>
        <v>0</v>
      </c>
      <c r="G47" s="86"/>
      <c r="H47" s="87"/>
      <c r="I47" s="87"/>
      <c r="J47" s="87"/>
      <c r="K47" s="86">
        <f t="shared" si="4"/>
        <v>0</v>
      </c>
      <c r="L47" s="86"/>
      <c r="M47" s="86"/>
      <c r="N47" s="86"/>
      <c r="O47" s="87"/>
      <c r="P47" s="87"/>
      <c r="Q47" s="63">
        <f t="shared" si="1"/>
        <v>0</v>
      </c>
      <c r="T47" s="14"/>
    </row>
    <row r="48" spans="1:20" s="6" customFormat="1" ht="49.2" customHeight="1">
      <c r="A48" s="52" t="s">
        <v>129</v>
      </c>
      <c r="B48" s="52" t="s">
        <v>351</v>
      </c>
      <c r="C48" s="52" t="s">
        <v>66</v>
      </c>
      <c r="D48" s="111" t="s">
        <v>111</v>
      </c>
      <c r="E48" s="39"/>
      <c r="F48" s="86">
        <f>G48</f>
        <v>355000</v>
      </c>
      <c r="G48" s="86">
        <f>300000+55000</f>
        <v>355000</v>
      </c>
      <c r="H48" s="87"/>
      <c r="I48" s="87"/>
      <c r="J48" s="87"/>
      <c r="K48" s="86">
        <f t="shared" si="4"/>
        <v>0</v>
      </c>
      <c r="L48" s="86"/>
      <c r="M48" s="86"/>
      <c r="N48" s="86"/>
      <c r="O48" s="87"/>
      <c r="P48" s="87"/>
      <c r="Q48" s="63">
        <f t="shared" si="1"/>
        <v>355000</v>
      </c>
      <c r="T48" s="14"/>
    </row>
    <row r="49" spans="1:20" s="18" customFormat="1" ht="55.95" customHeight="1">
      <c r="A49" s="56" t="s">
        <v>138</v>
      </c>
      <c r="B49" s="56" t="s">
        <v>138</v>
      </c>
      <c r="C49" s="66"/>
      <c r="D49" s="84" t="s">
        <v>27</v>
      </c>
      <c r="E49" s="66" t="s">
        <v>27</v>
      </c>
      <c r="F49" s="59">
        <f>F50</f>
        <v>283728525.60999995</v>
      </c>
      <c r="G49" s="59">
        <f t="shared" ref="G49:P49" si="6">G50</f>
        <v>283728525.60999995</v>
      </c>
      <c r="H49" s="59">
        <f t="shared" si="6"/>
        <v>192721679.6099999</v>
      </c>
      <c r="I49" s="59">
        <f t="shared" si="6"/>
        <v>22875793</v>
      </c>
      <c r="J49" s="59">
        <f t="shared" si="6"/>
        <v>0</v>
      </c>
      <c r="K49" s="59">
        <f t="shared" si="6"/>
        <v>15972786.440000001</v>
      </c>
      <c r="L49" s="59">
        <f t="shared" si="6"/>
        <v>7022786.4399999995</v>
      </c>
      <c r="M49" s="59">
        <f t="shared" si="6"/>
        <v>8950000</v>
      </c>
      <c r="N49" s="59">
        <f t="shared" si="6"/>
        <v>170000</v>
      </c>
      <c r="O49" s="59">
        <f t="shared" si="6"/>
        <v>335000</v>
      </c>
      <c r="P49" s="59">
        <f t="shared" si="6"/>
        <v>7022786.4399999995</v>
      </c>
      <c r="Q49" s="59">
        <f t="shared" si="1"/>
        <v>299701312.04999995</v>
      </c>
      <c r="T49" s="16"/>
    </row>
    <row r="50" spans="1:20" s="18" customFormat="1" ht="55.95" customHeight="1">
      <c r="A50" s="60" t="s">
        <v>139</v>
      </c>
      <c r="B50" s="60" t="s">
        <v>139</v>
      </c>
      <c r="C50" s="67"/>
      <c r="D50" s="85" t="s">
        <v>173</v>
      </c>
      <c r="E50" s="67"/>
      <c r="F50" s="63">
        <f>G50</f>
        <v>283728525.60999995</v>
      </c>
      <c r="G50" s="63">
        <f>SUM(G51:G82)-G55-G57-G60-G67-G69-G68-G70-G73-G74</f>
        <v>283728525.60999995</v>
      </c>
      <c r="H50" s="63">
        <f t="shared" ref="H50:J50" si="7">SUM(H51:H82)-H55-H57-H60-H67-H69-H68-H70-H73-H74</f>
        <v>192721679.6099999</v>
      </c>
      <c r="I50" s="63">
        <f t="shared" si="7"/>
        <v>22875793</v>
      </c>
      <c r="J50" s="63">
        <f t="shared" si="7"/>
        <v>0</v>
      </c>
      <c r="K50" s="63">
        <f t="shared" ref="K50" si="8">SUM(K51:K82)-K55-K57-K60-K67-K69-K68-K70-K73-K74</f>
        <v>15972786.440000001</v>
      </c>
      <c r="L50" s="63">
        <f t="shared" ref="L50" si="9">SUM(L51:L82)-L55-L57-L60-L67-L69-L68-L70-L73-L74</f>
        <v>7022786.4399999995</v>
      </c>
      <c r="M50" s="63">
        <f t="shared" ref="M50" si="10">SUM(M51:M82)-M55-M57-M60-M67-M69-M68-M70-M73-M74</f>
        <v>8950000</v>
      </c>
      <c r="N50" s="63">
        <f t="shared" ref="N50" si="11">SUM(N51:N82)-N55-N57-N60-N67-N69-N68-N70-N73-N74</f>
        <v>170000</v>
      </c>
      <c r="O50" s="63">
        <f t="shared" ref="O50:P50" si="12">SUM(O51:O82)-O55-O57-O60-O67-O69-O68-O70-O73-O74</f>
        <v>335000</v>
      </c>
      <c r="P50" s="63">
        <f t="shared" si="12"/>
        <v>7022786.4399999995</v>
      </c>
      <c r="Q50" s="63">
        <f t="shared" si="1"/>
        <v>299701312.04999995</v>
      </c>
      <c r="T50" s="16"/>
    </row>
    <row r="51" spans="1:20" s="6" customFormat="1" ht="77.400000000000006" customHeight="1">
      <c r="A51" s="52" t="s">
        <v>141</v>
      </c>
      <c r="B51" s="52" t="s">
        <v>326</v>
      </c>
      <c r="C51" s="52" t="s">
        <v>58</v>
      </c>
      <c r="D51" s="109" t="s">
        <v>476</v>
      </c>
      <c r="E51" s="83" t="s">
        <v>2</v>
      </c>
      <c r="F51" s="86">
        <f t="shared" si="3"/>
        <v>2029700</v>
      </c>
      <c r="G51" s="86">
        <f>1804700+150000+12000+63000</f>
        <v>2029700</v>
      </c>
      <c r="H51" s="87">
        <f>1432000+125000+53000</f>
        <v>1610000</v>
      </c>
      <c r="I51" s="87">
        <f>25500+12000</f>
        <v>37500</v>
      </c>
      <c r="J51" s="87"/>
      <c r="K51" s="63">
        <f t="shared" ref="K51:K82" si="13">M51+P51</f>
        <v>0</v>
      </c>
      <c r="L51" s="86"/>
      <c r="M51" s="87"/>
      <c r="N51" s="86"/>
      <c r="O51" s="87"/>
      <c r="P51" s="87"/>
      <c r="Q51" s="63">
        <f t="shared" si="1"/>
        <v>2029700</v>
      </c>
      <c r="T51" s="14"/>
    </row>
    <row r="52" spans="1:20" s="6" customFormat="1" ht="58.95" customHeight="1">
      <c r="A52" s="52" t="s">
        <v>261</v>
      </c>
      <c r="B52" s="52" t="s">
        <v>266</v>
      </c>
      <c r="C52" s="52" t="s">
        <v>69</v>
      </c>
      <c r="D52" s="109" t="s">
        <v>135</v>
      </c>
      <c r="E52" s="83"/>
      <c r="F52" s="86">
        <f t="shared" si="3"/>
        <v>10000</v>
      </c>
      <c r="G52" s="86">
        <f>2000+8000</f>
        <v>10000</v>
      </c>
      <c r="H52" s="87"/>
      <c r="I52" s="87"/>
      <c r="J52" s="87"/>
      <c r="K52" s="63">
        <f t="shared" si="13"/>
        <v>0</v>
      </c>
      <c r="L52" s="86"/>
      <c r="M52" s="87"/>
      <c r="N52" s="86"/>
      <c r="O52" s="87"/>
      <c r="P52" s="87"/>
      <c r="Q52" s="63">
        <f t="shared" si="1"/>
        <v>10000</v>
      </c>
      <c r="T52" s="14"/>
    </row>
    <row r="53" spans="1:20" s="6" customFormat="1" ht="30.6" customHeight="1">
      <c r="A53" s="52" t="s">
        <v>142</v>
      </c>
      <c r="B53" s="52" t="s">
        <v>78</v>
      </c>
      <c r="C53" s="52" t="s">
        <v>70</v>
      </c>
      <c r="D53" s="55" t="s">
        <v>143</v>
      </c>
      <c r="E53" s="83" t="s">
        <v>6</v>
      </c>
      <c r="F53" s="86">
        <f t="shared" si="3"/>
        <v>69781070</v>
      </c>
      <c r="G53" s="86">
        <f>177600+54375970-510000+3900000+150000+3420000+900000+170000+133300+336000+6728200</f>
        <v>69781070</v>
      </c>
      <c r="H53" s="87">
        <f>34000000+3200000+2800000+5500000</f>
        <v>45500000</v>
      </c>
      <c r="I53" s="87">
        <f>6344770+200000+336000</f>
        <v>6880770</v>
      </c>
      <c r="J53" s="87"/>
      <c r="K53" s="63">
        <f t="shared" si="13"/>
        <v>4618100</v>
      </c>
      <c r="L53" s="86">
        <f>305000</f>
        <v>305000</v>
      </c>
      <c r="M53" s="87">
        <v>4313100</v>
      </c>
      <c r="N53" s="86"/>
      <c r="O53" s="87"/>
      <c r="P53" s="87">
        <f>L53</f>
        <v>305000</v>
      </c>
      <c r="Q53" s="63">
        <f t="shared" si="1"/>
        <v>74399170</v>
      </c>
      <c r="T53" s="14"/>
    </row>
    <row r="54" spans="1:20" s="6" customFormat="1" ht="52.95" customHeight="1">
      <c r="A54" s="52" t="s">
        <v>144</v>
      </c>
      <c r="B54" s="52" t="s">
        <v>79</v>
      </c>
      <c r="C54" s="52"/>
      <c r="D54" s="113" t="s">
        <v>541</v>
      </c>
      <c r="E54" s="83" t="s">
        <v>39</v>
      </c>
      <c r="F54" s="86">
        <f>G54</f>
        <v>66498803.539999999</v>
      </c>
      <c r="G54" s="86">
        <f>G55</f>
        <v>66498803.539999999</v>
      </c>
      <c r="H54" s="86">
        <f t="shared" ref="H54:I54" si="14">H55</f>
        <v>30664520</v>
      </c>
      <c r="I54" s="86">
        <f t="shared" si="14"/>
        <v>15188733</v>
      </c>
      <c r="J54" s="87"/>
      <c r="K54" s="63">
        <f t="shared" si="13"/>
        <v>5220699.34</v>
      </c>
      <c r="L54" s="86">
        <f>L55</f>
        <v>609699.34</v>
      </c>
      <c r="M54" s="87">
        <v>4611000</v>
      </c>
      <c r="N54" s="86">
        <v>170000</v>
      </c>
      <c r="O54" s="87">
        <v>335000</v>
      </c>
      <c r="P54" s="87">
        <f>P55</f>
        <v>609699.34</v>
      </c>
      <c r="Q54" s="63">
        <f>F54+K54</f>
        <v>71719502.879999995</v>
      </c>
      <c r="T54" s="14"/>
    </row>
    <row r="55" spans="1:20" s="6" customFormat="1" ht="49.95" customHeight="1">
      <c r="A55" s="68" t="s">
        <v>479</v>
      </c>
      <c r="B55" s="68" t="s">
        <v>477</v>
      </c>
      <c r="C55" s="68" t="s">
        <v>71</v>
      </c>
      <c r="D55" s="116" t="s">
        <v>478</v>
      </c>
      <c r="E55" s="83"/>
      <c r="F55" s="86">
        <f>G55</f>
        <v>66498803.539999999</v>
      </c>
      <c r="G55" s="86">
        <f>3500000+6000+5000+115500+43929379+25300+60000+400000+223900-409000+14056.24+57300.3+1372000+100000+8450000-198800-14200-1000000+2440000+1600000+265000+192671+198000+66700+2133400+8597+845000+2113000</f>
        <v>66498803.539999999</v>
      </c>
      <c r="H55" s="87">
        <f>18200000+7000000+2000000+1751520+1713000</f>
        <v>30664520</v>
      </c>
      <c r="I55" s="87">
        <f>13994200+40936+300000+8597+845000</f>
        <v>15188733</v>
      </c>
      <c r="J55" s="87"/>
      <c r="K55" s="63">
        <f t="shared" si="13"/>
        <v>5220699.34</v>
      </c>
      <c r="L55" s="86">
        <f>190000+220450+167500+20049.34+83200-71500</f>
        <v>609699.34</v>
      </c>
      <c r="M55" s="87">
        <v>4611000</v>
      </c>
      <c r="N55" s="86">
        <v>170000</v>
      </c>
      <c r="O55" s="87">
        <v>335000</v>
      </c>
      <c r="P55" s="87">
        <f>L55</f>
        <v>609699.34</v>
      </c>
      <c r="Q55" s="63">
        <f>F55+K55</f>
        <v>71719502.879999995</v>
      </c>
      <c r="T55" s="14"/>
    </row>
    <row r="56" spans="1:20" s="6" customFormat="1" ht="47.4" customHeight="1">
      <c r="A56" s="52" t="s">
        <v>480</v>
      </c>
      <c r="B56" s="52" t="s">
        <v>75</v>
      </c>
      <c r="C56" s="52"/>
      <c r="D56" s="113" t="s">
        <v>542</v>
      </c>
      <c r="E56" s="83" t="s">
        <v>7</v>
      </c>
      <c r="F56" s="86">
        <f>G56</f>
        <v>121869900</v>
      </c>
      <c r="G56" s="86">
        <f>G57</f>
        <v>121869900</v>
      </c>
      <c r="H56" s="86">
        <f>H57</f>
        <v>100000000</v>
      </c>
      <c r="I56" s="87"/>
      <c r="J56" s="87"/>
      <c r="K56" s="63">
        <f t="shared" si="13"/>
        <v>0</v>
      </c>
      <c r="L56" s="86"/>
      <c r="M56" s="87"/>
      <c r="N56" s="86"/>
      <c r="O56" s="87"/>
      <c r="P56" s="87"/>
      <c r="Q56" s="63">
        <f t="shared" si="1"/>
        <v>121869900</v>
      </c>
      <c r="T56" s="14"/>
    </row>
    <row r="57" spans="1:20" s="6" customFormat="1" ht="57" customHeight="1">
      <c r="A57" s="52" t="s">
        <v>481</v>
      </c>
      <c r="B57" s="52" t="s">
        <v>482</v>
      </c>
      <c r="C57" s="52" t="s">
        <v>71</v>
      </c>
      <c r="D57" s="54" t="s">
        <v>478</v>
      </c>
      <c r="E57" s="83" t="s">
        <v>8</v>
      </c>
      <c r="F57" s="86">
        <f>G57</f>
        <v>121869900</v>
      </c>
      <c r="G57" s="86">
        <v>121869900</v>
      </c>
      <c r="H57" s="87">
        <v>100000000</v>
      </c>
      <c r="I57" s="87"/>
      <c r="J57" s="87"/>
      <c r="K57" s="63">
        <f t="shared" si="13"/>
        <v>0</v>
      </c>
      <c r="L57" s="86"/>
      <c r="M57" s="87"/>
      <c r="N57" s="86"/>
      <c r="O57" s="87"/>
      <c r="P57" s="87"/>
      <c r="Q57" s="63">
        <f t="shared" si="1"/>
        <v>121869900</v>
      </c>
      <c r="T57" s="14"/>
    </row>
    <row r="58" spans="1:20" s="6" customFormat="1" ht="150.6" customHeight="1">
      <c r="A58" s="52" t="s">
        <v>483</v>
      </c>
      <c r="B58" s="52" t="s">
        <v>64</v>
      </c>
      <c r="C58" s="52"/>
      <c r="D58" s="113" t="s">
        <v>484</v>
      </c>
      <c r="E58" s="83"/>
      <c r="F58" s="86">
        <f>G58</f>
        <v>1361087</v>
      </c>
      <c r="G58" s="86">
        <f>G60</f>
        <v>1361087</v>
      </c>
      <c r="H58" s="92">
        <f>H60</f>
        <v>855824.15</v>
      </c>
      <c r="I58" s="87"/>
      <c r="J58" s="87"/>
      <c r="K58" s="63">
        <f t="shared" si="13"/>
        <v>46761.8</v>
      </c>
      <c r="L58" s="86">
        <f>L60</f>
        <v>46761.8</v>
      </c>
      <c r="M58" s="86"/>
      <c r="N58" s="86"/>
      <c r="O58" s="86"/>
      <c r="P58" s="86">
        <f t="shared" ref="P58" si="15">P60</f>
        <v>46761.8</v>
      </c>
      <c r="Q58" s="63">
        <f t="shared" si="1"/>
        <v>1407848.8</v>
      </c>
      <c r="T58" s="14"/>
    </row>
    <row r="59" spans="1:20" s="6" customFormat="1" ht="27" hidden="1" customHeight="1">
      <c r="A59" s="69"/>
      <c r="B59" s="52"/>
      <c r="C59" s="70"/>
      <c r="D59" s="83"/>
      <c r="E59" s="83"/>
      <c r="F59" s="93"/>
      <c r="G59" s="93"/>
      <c r="H59" s="94"/>
      <c r="I59" s="87"/>
      <c r="J59" s="87"/>
      <c r="K59" s="63">
        <f t="shared" si="13"/>
        <v>0</v>
      </c>
      <c r="L59" s="86"/>
      <c r="M59" s="87"/>
      <c r="N59" s="86"/>
      <c r="O59" s="87"/>
      <c r="P59" s="87"/>
      <c r="Q59" s="63">
        <f t="shared" si="1"/>
        <v>0</v>
      </c>
      <c r="T59" s="14"/>
    </row>
    <row r="60" spans="1:20" s="6" customFormat="1" ht="52.95" customHeight="1">
      <c r="A60" s="71" t="s">
        <v>485</v>
      </c>
      <c r="B60" s="52" t="s">
        <v>486</v>
      </c>
      <c r="C60" s="52" t="s">
        <v>71</v>
      </c>
      <c r="D60" s="54" t="s">
        <v>478</v>
      </c>
      <c r="E60" s="83"/>
      <c r="F60" s="93">
        <f>G60</f>
        <v>1361087</v>
      </c>
      <c r="G60" s="93">
        <f>1194588.99+32797.31+133700.7</f>
        <v>1361087</v>
      </c>
      <c r="H60" s="94">
        <v>855824.15</v>
      </c>
      <c r="I60" s="87"/>
      <c r="J60" s="87"/>
      <c r="K60" s="63">
        <f t="shared" si="13"/>
        <v>46761.8</v>
      </c>
      <c r="L60" s="86">
        <v>46761.8</v>
      </c>
      <c r="M60" s="87"/>
      <c r="N60" s="86"/>
      <c r="O60" s="87"/>
      <c r="P60" s="87">
        <f>L60</f>
        <v>46761.8</v>
      </c>
      <c r="Q60" s="63">
        <f t="shared" si="1"/>
        <v>1407848.8</v>
      </c>
      <c r="T60" s="14"/>
    </row>
    <row r="61" spans="1:20" s="6" customFormat="1" ht="142.19999999999999" customHeight="1">
      <c r="A61" s="52" t="s">
        <v>487</v>
      </c>
      <c r="B61" s="52" t="s">
        <v>289</v>
      </c>
      <c r="C61" s="52"/>
      <c r="D61" s="113" t="s">
        <v>488</v>
      </c>
      <c r="E61" s="83"/>
      <c r="F61" s="86">
        <f>G61</f>
        <v>0</v>
      </c>
      <c r="G61" s="86"/>
      <c r="H61" s="92"/>
      <c r="I61" s="87"/>
      <c r="J61" s="87"/>
      <c r="K61" s="63">
        <f t="shared" si="13"/>
        <v>0</v>
      </c>
      <c r="L61" s="86"/>
      <c r="M61" s="87"/>
      <c r="N61" s="86"/>
      <c r="O61" s="87"/>
      <c r="P61" s="87"/>
      <c r="Q61" s="63">
        <f t="shared" si="1"/>
        <v>0</v>
      </c>
      <c r="T61" s="14"/>
    </row>
    <row r="62" spans="1:20" s="6" customFormat="1" ht="59.4" customHeight="1">
      <c r="A62" s="52" t="s">
        <v>489</v>
      </c>
      <c r="B62" s="52" t="s">
        <v>490</v>
      </c>
      <c r="C62" s="72" t="s">
        <v>71</v>
      </c>
      <c r="D62" s="54" t="s">
        <v>478</v>
      </c>
      <c r="E62" s="117"/>
      <c r="F62" s="118">
        <f>G62</f>
        <v>0</v>
      </c>
      <c r="G62" s="86"/>
      <c r="H62" s="87"/>
      <c r="I62" s="87"/>
      <c r="J62" s="87"/>
      <c r="K62" s="63">
        <f t="shared" si="13"/>
        <v>0</v>
      </c>
      <c r="L62" s="86"/>
      <c r="M62" s="87"/>
      <c r="N62" s="86"/>
      <c r="O62" s="87"/>
      <c r="P62" s="87"/>
      <c r="Q62" s="63">
        <f t="shared" si="1"/>
        <v>0</v>
      </c>
      <c r="T62" s="14"/>
    </row>
    <row r="63" spans="1:20" s="6" customFormat="1" ht="70.2" customHeight="1">
      <c r="A63" s="52" t="s">
        <v>491</v>
      </c>
      <c r="B63" s="52" t="s">
        <v>76</v>
      </c>
      <c r="C63" s="72" t="s">
        <v>72</v>
      </c>
      <c r="D63" s="113" t="s">
        <v>492</v>
      </c>
      <c r="E63" s="117" t="s">
        <v>43</v>
      </c>
      <c r="F63" s="118">
        <f>G63+J63</f>
        <v>10010799</v>
      </c>
      <c r="G63" s="86">
        <f>6000+7582800+99999-30000+600000+990000+40000+722000</f>
        <v>10010799</v>
      </c>
      <c r="H63" s="87">
        <f>5500000+500000+800000+550000</f>
        <v>7350000</v>
      </c>
      <c r="I63" s="87">
        <f>395850+40000</f>
        <v>435850</v>
      </c>
      <c r="J63" s="87"/>
      <c r="K63" s="63">
        <f t="shared" si="13"/>
        <v>25900</v>
      </c>
      <c r="L63" s="86"/>
      <c r="M63" s="87">
        <v>25900</v>
      </c>
      <c r="N63" s="86"/>
      <c r="O63" s="87"/>
      <c r="P63" s="87"/>
      <c r="Q63" s="63">
        <f t="shared" si="1"/>
        <v>10036699</v>
      </c>
      <c r="T63" s="14"/>
    </row>
    <row r="64" spans="1:20" s="6" customFormat="1" ht="50.4" customHeight="1">
      <c r="A64" s="52" t="s">
        <v>552</v>
      </c>
      <c r="B64" s="52" t="s">
        <v>496</v>
      </c>
      <c r="C64" s="72" t="s">
        <v>73</v>
      </c>
      <c r="D64" s="113" t="s">
        <v>216</v>
      </c>
      <c r="E64" s="117"/>
      <c r="F64" s="118">
        <f t="shared" ref="F64:F65" si="16">G64+J64</f>
        <v>5713650</v>
      </c>
      <c r="G64" s="86">
        <f>4128650+400000+695000+63000+427000</f>
        <v>5713650</v>
      </c>
      <c r="H64" s="87">
        <f>3000000+340000+580000+350000</f>
        <v>4270000</v>
      </c>
      <c r="I64" s="87">
        <f>83250+63000</f>
        <v>146250</v>
      </c>
      <c r="J64" s="87"/>
      <c r="K64" s="63">
        <f t="shared" si="13"/>
        <v>0</v>
      </c>
      <c r="L64" s="86"/>
      <c r="M64" s="87"/>
      <c r="N64" s="86"/>
      <c r="O64" s="87"/>
      <c r="P64" s="87"/>
      <c r="Q64" s="63">
        <f t="shared" si="1"/>
        <v>5713650</v>
      </c>
      <c r="T64" s="14"/>
    </row>
    <row r="65" spans="1:20" s="6" customFormat="1" ht="41.4" customHeight="1">
      <c r="A65" s="52" t="s">
        <v>497</v>
      </c>
      <c r="B65" s="52" t="s">
        <v>498</v>
      </c>
      <c r="C65" s="72" t="s">
        <v>73</v>
      </c>
      <c r="D65" s="113" t="s">
        <v>256</v>
      </c>
      <c r="E65" s="117"/>
      <c r="F65" s="118">
        <f t="shared" si="16"/>
        <v>110700</v>
      </c>
      <c r="G65" s="86">
        <f>18100+36000+56600</f>
        <v>110700</v>
      </c>
      <c r="H65" s="87"/>
      <c r="I65" s="87"/>
      <c r="J65" s="87"/>
      <c r="K65" s="63">
        <f t="shared" si="13"/>
        <v>0</v>
      </c>
      <c r="L65" s="86"/>
      <c r="M65" s="87"/>
      <c r="N65" s="86"/>
      <c r="O65" s="87"/>
      <c r="P65" s="87"/>
      <c r="Q65" s="63">
        <f t="shared" si="1"/>
        <v>110700</v>
      </c>
      <c r="T65" s="14"/>
    </row>
    <row r="66" spans="1:20" s="6" customFormat="1" ht="50.4" customHeight="1">
      <c r="A66" s="52" t="s">
        <v>145</v>
      </c>
      <c r="B66" s="52" t="s">
        <v>353</v>
      </c>
      <c r="C66" s="72"/>
      <c r="D66" s="113" t="s">
        <v>499</v>
      </c>
      <c r="E66" s="117"/>
      <c r="F66" s="118">
        <f t="shared" ref="F66:F75" si="17">G66</f>
        <v>1708430.62</v>
      </c>
      <c r="G66" s="86">
        <f>G67+G68+G69+G70</f>
        <v>1708430.62</v>
      </c>
      <c r="H66" s="86">
        <f t="shared" ref="H66:P66" si="18">H67+H68+H69+H70</f>
        <v>1070216</v>
      </c>
      <c r="I66" s="86">
        <f t="shared" si="18"/>
        <v>88290</v>
      </c>
      <c r="J66" s="86"/>
      <c r="K66" s="86">
        <f t="shared" si="18"/>
        <v>227000</v>
      </c>
      <c r="L66" s="86">
        <f t="shared" si="18"/>
        <v>227000</v>
      </c>
      <c r="M66" s="86"/>
      <c r="N66" s="86"/>
      <c r="O66" s="86"/>
      <c r="P66" s="86">
        <f t="shared" si="18"/>
        <v>227000</v>
      </c>
      <c r="Q66" s="63">
        <f t="shared" si="1"/>
        <v>1935430.62</v>
      </c>
      <c r="T66" s="14"/>
    </row>
    <row r="67" spans="1:20" s="6" customFormat="1" ht="72.599999999999994" customHeight="1">
      <c r="A67" s="52" t="s">
        <v>500</v>
      </c>
      <c r="B67" s="52" t="s">
        <v>504</v>
      </c>
      <c r="C67" s="72" t="s">
        <v>73</v>
      </c>
      <c r="D67" s="54" t="s">
        <v>508</v>
      </c>
      <c r="E67" s="83"/>
      <c r="F67" s="86">
        <f t="shared" si="17"/>
        <v>415772</v>
      </c>
      <c r="G67" s="86">
        <f>900+294290+113582+7000</f>
        <v>415772</v>
      </c>
      <c r="H67" s="87">
        <f>42000+92116</f>
        <v>134116</v>
      </c>
      <c r="I67" s="87">
        <f>81290+7000</f>
        <v>88290</v>
      </c>
      <c r="J67" s="87"/>
      <c r="K67" s="63">
        <f t="shared" si="13"/>
        <v>0</v>
      </c>
      <c r="L67" s="86"/>
      <c r="M67" s="87"/>
      <c r="N67" s="86"/>
      <c r="O67" s="87"/>
      <c r="P67" s="87"/>
      <c r="Q67" s="63">
        <f t="shared" si="1"/>
        <v>415772</v>
      </c>
      <c r="T67" s="14"/>
    </row>
    <row r="68" spans="1:20" s="6" customFormat="1" ht="78.599999999999994" customHeight="1">
      <c r="A68" s="52" t="s">
        <v>501</v>
      </c>
      <c r="B68" s="52" t="s">
        <v>505</v>
      </c>
      <c r="C68" s="72" t="s">
        <v>73</v>
      </c>
      <c r="D68" s="54" t="s">
        <v>509</v>
      </c>
      <c r="E68" s="83"/>
      <c r="F68" s="86">
        <f t="shared" si="17"/>
        <v>1141900</v>
      </c>
      <c r="G68" s="86">
        <v>1141900</v>
      </c>
      <c r="H68" s="87">
        <v>936100</v>
      </c>
      <c r="I68" s="87"/>
      <c r="J68" s="87"/>
      <c r="K68" s="63">
        <f t="shared" si="13"/>
        <v>0</v>
      </c>
      <c r="L68" s="86"/>
      <c r="M68" s="87"/>
      <c r="N68" s="86"/>
      <c r="O68" s="87"/>
      <c r="P68" s="87"/>
      <c r="Q68" s="63">
        <f t="shared" si="1"/>
        <v>1141900</v>
      </c>
      <c r="T68" s="14"/>
    </row>
    <row r="69" spans="1:20" s="6" customFormat="1" ht="173.4" customHeight="1">
      <c r="A69" s="52" t="s">
        <v>502</v>
      </c>
      <c r="B69" s="52" t="s">
        <v>506</v>
      </c>
      <c r="C69" s="72" t="s">
        <v>73</v>
      </c>
      <c r="D69" s="54" t="s">
        <v>510</v>
      </c>
      <c r="E69" s="83"/>
      <c r="F69" s="86">
        <f t="shared" si="17"/>
        <v>0</v>
      </c>
      <c r="G69" s="86">
        <f>377758.62-309640-68118.62</f>
        <v>0</v>
      </c>
      <c r="H69" s="87">
        <f>309640-309640</f>
        <v>0</v>
      </c>
      <c r="I69" s="87"/>
      <c r="J69" s="87"/>
      <c r="K69" s="63">
        <f t="shared" si="13"/>
        <v>0</v>
      </c>
      <c r="L69" s="86"/>
      <c r="M69" s="87"/>
      <c r="N69" s="86"/>
      <c r="O69" s="87"/>
      <c r="P69" s="87"/>
      <c r="Q69" s="63">
        <f t="shared" si="1"/>
        <v>0</v>
      </c>
      <c r="T69" s="14"/>
    </row>
    <row r="70" spans="1:20" s="6" customFormat="1" ht="164.4" customHeight="1">
      <c r="A70" s="52" t="s">
        <v>503</v>
      </c>
      <c r="B70" s="52" t="s">
        <v>507</v>
      </c>
      <c r="C70" s="72" t="s">
        <v>73</v>
      </c>
      <c r="D70" s="54" t="s">
        <v>511</v>
      </c>
      <c r="E70" s="83"/>
      <c r="F70" s="86">
        <f t="shared" si="17"/>
        <v>150758.62</v>
      </c>
      <c r="G70" s="86">
        <f>30758.62+120000</f>
        <v>150758.62</v>
      </c>
      <c r="H70" s="87"/>
      <c r="I70" s="87"/>
      <c r="J70" s="87"/>
      <c r="K70" s="63">
        <f t="shared" si="13"/>
        <v>227000</v>
      </c>
      <c r="L70" s="86">
        <v>227000</v>
      </c>
      <c r="M70" s="87"/>
      <c r="N70" s="86"/>
      <c r="O70" s="87"/>
      <c r="P70" s="87">
        <f>L70</f>
        <v>227000</v>
      </c>
      <c r="Q70" s="63">
        <f t="shared" si="1"/>
        <v>377758.62</v>
      </c>
      <c r="T70" s="14"/>
    </row>
    <row r="71" spans="1:20" s="6" customFormat="1" ht="69" customHeight="1">
      <c r="A71" s="52" t="s">
        <v>512</v>
      </c>
      <c r="B71" s="52" t="s">
        <v>513</v>
      </c>
      <c r="C71" s="52" t="s">
        <v>73</v>
      </c>
      <c r="D71" s="53" t="s">
        <v>514</v>
      </c>
      <c r="E71" s="83"/>
      <c r="F71" s="86">
        <f t="shared" si="17"/>
        <v>1491100</v>
      </c>
      <c r="G71" s="86">
        <f>1582600-300000+100000+8000+100500</f>
        <v>1491100</v>
      </c>
      <c r="H71" s="87">
        <f>950000+80000+85000</f>
        <v>1115000</v>
      </c>
      <c r="I71" s="87">
        <f>90400+8000</f>
        <v>98400</v>
      </c>
      <c r="J71" s="87"/>
      <c r="K71" s="63">
        <f t="shared" si="13"/>
        <v>0</v>
      </c>
      <c r="L71" s="86"/>
      <c r="M71" s="87"/>
      <c r="N71" s="86"/>
      <c r="O71" s="87"/>
      <c r="P71" s="87">
        <f t="shared" ref="P71:P74" si="19">L71</f>
        <v>0</v>
      </c>
      <c r="Q71" s="63">
        <f t="shared" si="1"/>
        <v>1491100</v>
      </c>
      <c r="T71" s="14"/>
    </row>
    <row r="72" spans="1:20" s="6" customFormat="1" ht="113.4" customHeight="1">
      <c r="A72" s="52" t="s">
        <v>515</v>
      </c>
      <c r="B72" s="52" t="s">
        <v>516</v>
      </c>
      <c r="C72" s="52"/>
      <c r="D72" s="53" t="s">
        <v>517</v>
      </c>
      <c r="E72" s="83"/>
      <c r="F72" s="86">
        <f>F73+F74</f>
        <v>1695711.2</v>
      </c>
      <c r="G72" s="86">
        <f t="shared" ref="G72:H72" si="20">G73+G74</f>
        <v>1695711.2</v>
      </c>
      <c r="H72" s="86">
        <f t="shared" si="20"/>
        <v>24350.400000000001</v>
      </c>
      <c r="I72" s="86"/>
      <c r="J72" s="86"/>
      <c r="K72" s="86">
        <f t="shared" ref="K72" si="21">K73+K74</f>
        <v>1272191</v>
      </c>
      <c r="L72" s="86">
        <f t="shared" ref="L72" si="22">L73+L74</f>
        <v>1272191</v>
      </c>
      <c r="M72" s="86"/>
      <c r="N72" s="86"/>
      <c r="O72" s="86"/>
      <c r="P72" s="87">
        <f t="shared" si="19"/>
        <v>1272191</v>
      </c>
      <c r="Q72" s="63">
        <f t="shared" si="1"/>
        <v>2967902.2</v>
      </c>
      <c r="T72" s="14"/>
    </row>
    <row r="73" spans="1:20" s="6" customFormat="1" ht="161.4" customHeight="1">
      <c r="A73" s="52" t="s">
        <v>518</v>
      </c>
      <c r="B73" s="52" t="s">
        <v>519</v>
      </c>
      <c r="C73" s="52" t="s">
        <v>73</v>
      </c>
      <c r="D73" s="54" t="s">
        <v>520</v>
      </c>
      <c r="E73" s="83"/>
      <c r="F73" s="86">
        <f t="shared" si="17"/>
        <v>358395</v>
      </c>
      <c r="G73" s="86">
        <v>358395</v>
      </c>
      <c r="H73" s="87"/>
      <c r="I73" s="87"/>
      <c r="J73" s="87"/>
      <c r="K73" s="63">
        <f t="shared" si="13"/>
        <v>319880</v>
      </c>
      <c r="L73" s="86">
        <v>319880</v>
      </c>
      <c r="M73" s="87"/>
      <c r="N73" s="86"/>
      <c r="O73" s="87"/>
      <c r="P73" s="87">
        <f t="shared" si="19"/>
        <v>319880</v>
      </c>
      <c r="Q73" s="63">
        <f t="shared" si="1"/>
        <v>678275</v>
      </c>
      <c r="T73" s="14"/>
    </row>
    <row r="74" spans="1:20" s="6" customFormat="1" ht="148.94999999999999" customHeight="1">
      <c r="A74" s="52" t="s">
        <v>522</v>
      </c>
      <c r="B74" s="52" t="s">
        <v>521</v>
      </c>
      <c r="C74" s="52" t="s">
        <v>73</v>
      </c>
      <c r="D74" s="54" t="s">
        <v>523</v>
      </c>
      <c r="E74" s="83"/>
      <c r="F74" s="86">
        <f t="shared" si="17"/>
        <v>1337316.2</v>
      </c>
      <c r="G74" s="86">
        <f>901653+435663.2</f>
        <v>1337316.2</v>
      </c>
      <c r="H74" s="87">
        <v>24350.400000000001</v>
      </c>
      <c r="I74" s="87"/>
      <c r="J74" s="87"/>
      <c r="K74" s="63">
        <f t="shared" si="13"/>
        <v>952311</v>
      </c>
      <c r="L74" s="86">
        <v>952311</v>
      </c>
      <c r="M74" s="87"/>
      <c r="N74" s="86"/>
      <c r="O74" s="87"/>
      <c r="P74" s="87">
        <f t="shared" si="19"/>
        <v>952311</v>
      </c>
      <c r="Q74" s="63">
        <f t="shared" si="1"/>
        <v>2289627.2000000002</v>
      </c>
      <c r="T74" s="14"/>
    </row>
    <row r="75" spans="1:20" s="6" customFormat="1" ht="115.95" customHeight="1">
      <c r="A75" s="52" t="s">
        <v>526</v>
      </c>
      <c r="B75" s="52" t="s">
        <v>524</v>
      </c>
      <c r="C75" s="52" t="s">
        <v>73</v>
      </c>
      <c r="D75" s="113" t="s">
        <v>525</v>
      </c>
      <c r="E75" s="83"/>
      <c r="F75" s="86">
        <f t="shared" si="17"/>
        <v>307530</v>
      </c>
      <c r="G75" s="86">
        <v>307530</v>
      </c>
      <c r="H75" s="87">
        <v>256400</v>
      </c>
      <c r="I75" s="87"/>
      <c r="J75" s="87"/>
      <c r="K75" s="63">
        <f t="shared" si="13"/>
        <v>156050</v>
      </c>
      <c r="L75" s="86">
        <v>156050</v>
      </c>
      <c r="M75" s="87"/>
      <c r="N75" s="86"/>
      <c r="O75" s="87"/>
      <c r="P75" s="87">
        <f>L75</f>
        <v>156050</v>
      </c>
      <c r="Q75" s="63">
        <f t="shared" si="1"/>
        <v>463580</v>
      </c>
      <c r="T75" s="14"/>
    </row>
    <row r="76" spans="1:20" s="6" customFormat="1" ht="130.94999999999999" customHeight="1">
      <c r="A76" s="52" t="s">
        <v>527</v>
      </c>
      <c r="B76" s="52" t="s">
        <v>529</v>
      </c>
      <c r="C76" s="52" t="s">
        <v>73</v>
      </c>
      <c r="D76" s="113" t="s">
        <v>528</v>
      </c>
      <c r="E76" s="83"/>
      <c r="F76" s="86">
        <f t="shared" ref="F76:F82" si="23">G76</f>
        <v>6544.25</v>
      </c>
      <c r="G76" s="86">
        <v>6544.25</v>
      </c>
      <c r="H76" s="87">
        <v>5369.06</v>
      </c>
      <c r="I76" s="87"/>
      <c r="J76" s="87"/>
      <c r="K76" s="63">
        <f t="shared" si="13"/>
        <v>0</v>
      </c>
      <c r="L76" s="86"/>
      <c r="M76" s="87"/>
      <c r="N76" s="86"/>
      <c r="O76" s="87"/>
      <c r="P76" s="87"/>
      <c r="Q76" s="63">
        <f t="shared" si="1"/>
        <v>6544.25</v>
      </c>
      <c r="T76" s="14"/>
    </row>
    <row r="77" spans="1:20" s="6" customFormat="1" ht="40.950000000000003" customHeight="1">
      <c r="A77" s="52" t="s">
        <v>311</v>
      </c>
      <c r="B77" s="52" t="s">
        <v>344</v>
      </c>
      <c r="C77" s="52" t="s">
        <v>67</v>
      </c>
      <c r="D77" s="113" t="s">
        <v>112</v>
      </c>
      <c r="E77" s="83"/>
      <c r="F77" s="86">
        <f t="shared" si="23"/>
        <v>0</v>
      </c>
      <c r="G77" s="86"/>
      <c r="H77" s="87"/>
      <c r="I77" s="87"/>
      <c r="J77" s="87"/>
      <c r="K77" s="63">
        <f t="shared" si="13"/>
        <v>0</v>
      </c>
      <c r="L77" s="86"/>
      <c r="M77" s="87"/>
      <c r="N77" s="86"/>
      <c r="O77" s="87"/>
      <c r="P77" s="87"/>
      <c r="Q77" s="63">
        <f t="shared" si="1"/>
        <v>0</v>
      </c>
      <c r="T77" s="14"/>
    </row>
    <row r="78" spans="1:20" s="6" customFormat="1" ht="40.950000000000003" customHeight="1">
      <c r="A78" s="52" t="s">
        <v>265</v>
      </c>
      <c r="B78" s="52" t="s">
        <v>355</v>
      </c>
      <c r="C78" s="52" t="s">
        <v>80</v>
      </c>
      <c r="D78" s="113" t="s">
        <v>530</v>
      </c>
      <c r="E78" s="83"/>
      <c r="F78" s="86">
        <f t="shared" si="23"/>
        <v>0</v>
      </c>
      <c r="G78" s="86"/>
      <c r="H78" s="87"/>
      <c r="I78" s="87"/>
      <c r="J78" s="87"/>
      <c r="K78" s="63">
        <f t="shared" si="13"/>
        <v>1566332</v>
      </c>
      <c r="L78" s="86">
        <f>49000+1200000+267332+50000</f>
        <v>1566332</v>
      </c>
      <c r="M78" s="87"/>
      <c r="N78" s="86"/>
      <c r="O78" s="87"/>
      <c r="P78" s="87">
        <f>L78</f>
        <v>1566332</v>
      </c>
      <c r="Q78" s="63">
        <f t="shared" si="1"/>
        <v>1566332</v>
      </c>
      <c r="T78" s="14"/>
    </row>
    <row r="79" spans="1:20" s="6" customFormat="1" ht="75.599999999999994" customHeight="1">
      <c r="A79" s="52" t="s">
        <v>264</v>
      </c>
      <c r="B79" s="52" t="s">
        <v>345</v>
      </c>
      <c r="C79" s="52" t="s">
        <v>201</v>
      </c>
      <c r="D79" s="55" t="s">
        <v>449</v>
      </c>
      <c r="E79" s="83"/>
      <c r="F79" s="86">
        <f t="shared" si="23"/>
        <v>0</v>
      </c>
      <c r="G79" s="86"/>
      <c r="H79" s="87"/>
      <c r="I79" s="87"/>
      <c r="J79" s="87"/>
      <c r="K79" s="63">
        <f t="shared" si="13"/>
        <v>0</v>
      </c>
      <c r="L79" s="86"/>
      <c r="M79" s="87"/>
      <c r="N79" s="86"/>
      <c r="O79" s="87"/>
      <c r="P79" s="87"/>
      <c r="Q79" s="63">
        <f t="shared" si="1"/>
        <v>0</v>
      </c>
      <c r="T79" s="14"/>
    </row>
    <row r="80" spans="1:20" s="6" customFormat="1" ht="55.2" customHeight="1">
      <c r="A80" s="52" t="s">
        <v>298</v>
      </c>
      <c r="B80" s="52" t="s">
        <v>356</v>
      </c>
      <c r="C80" s="52" t="s">
        <v>201</v>
      </c>
      <c r="D80" s="55" t="s">
        <v>299</v>
      </c>
      <c r="E80" s="83"/>
      <c r="F80" s="86">
        <f t="shared" si="23"/>
        <v>0</v>
      </c>
      <c r="G80" s="86"/>
      <c r="H80" s="87"/>
      <c r="I80" s="87"/>
      <c r="J80" s="87"/>
      <c r="K80" s="63">
        <f t="shared" si="13"/>
        <v>0</v>
      </c>
      <c r="L80" s="86"/>
      <c r="M80" s="87"/>
      <c r="N80" s="86"/>
      <c r="O80" s="87"/>
      <c r="P80" s="87"/>
      <c r="Q80" s="63">
        <f t="shared" si="1"/>
        <v>0</v>
      </c>
      <c r="T80" s="14"/>
    </row>
    <row r="81" spans="1:20" s="6" customFormat="1" ht="55.2" customHeight="1">
      <c r="A81" s="52" t="s">
        <v>430</v>
      </c>
      <c r="B81" s="52" t="s">
        <v>423</v>
      </c>
      <c r="C81" s="52" t="s">
        <v>424</v>
      </c>
      <c r="D81" s="55" t="s">
        <v>425</v>
      </c>
      <c r="E81" s="83"/>
      <c r="F81" s="86">
        <f t="shared" si="23"/>
        <v>1133500</v>
      </c>
      <c r="G81" s="86">
        <f>608900+370000+198800+14200-58400</f>
        <v>1133500</v>
      </c>
      <c r="H81" s="90"/>
      <c r="I81" s="90"/>
      <c r="J81" s="90"/>
      <c r="K81" s="63">
        <f t="shared" si="13"/>
        <v>278800</v>
      </c>
      <c r="L81" s="89">
        <f>220400+58400</f>
        <v>278800</v>
      </c>
      <c r="M81" s="89"/>
      <c r="N81" s="89"/>
      <c r="O81" s="90"/>
      <c r="P81" s="90">
        <f>L81</f>
        <v>278800</v>
      </c>
      <c r="Q81" s="63">
        <f>F81+K81</f>
        <v>1412300</v>
      </c>
      <c r="T81" s="14"/>
    </row>
    <row r="82" spans="1:20" s="6" customFormat="1" ht="55.2" customHeight="1">
      <c r="A82" s="73" t="s">
        <v>276</v>
      </c>
      <c r="B82" s="52" t="s">
        <v>347</v>
      </c>
      <c r="C82" s="73" t="s">
        <v>83</v>
      </c>
      <c r="D82" s="111" t="s">
        <v>137</v>
      </c>
      <c r="E82" s="117"/>
      <c r="F82" s="86">
        <f t="shared" si="23"/>
        <v>0</v>
      </c>
      <c r="G82" s="86"/>
      <c r="H82" s="87"/>
      <c r="I82" s="87"/>
      <c r="J82" s="87"/>
      <c r="K82" s="63">
        <f t="shared" si="13"/>
        <v>2560952.2999999998</v>
      </c>
      <c r="L82" s="86">
        <f>1240000+389000+751102.3+180850</f>
        <v>2560952.2999999998</v>
      </c>
      <c r="M82" s="87"/>
      <c r="N82" s="86"/>
      <c r="O82" s="87"/>
      <c r="P82" s="87">
        <f>L82</f>
        <v>2560952.2999999998</v>
      </c>
      <c r="Q82" s="63">
        <f t="shared" si="1"/>
        <v>2560952.2999999998</v>
      </c>
      <c r="T82" s="14"/>
    </row>
    <row r="83" spans="1:20" s="6" customFormat="1" ht="51" hidden="1" customHeight="1">
      <c r="A83" s="52" t="s">
        <v>324</v>
      </c>
      <c r="B83" s="52" t="s">
        <v>350</v>
      </c>
      <c r="C83" s="52" t="s">
        <v>68</v>
      </c>
      <c r="D83" s="28" t="s">
        <v>254</v>
      </c>
      <c r="E83" s="4"/>
      <c r="F83" s="49">
        <f t="shared" si="3"/>
        <v>0</v>
      </c>
      <c r="G83" s="86"/>
      <c r="H83" s="87"/>
      <c r="I83" s="87"/>
      <c r="J83" s="87"/>
      <c r="K83" s="86">
        <f t="shared" ref="K83" si="24">M83+P83</f>
        <v>0</v>
      </c>
      <c r="L83" s="86"/>
      <c r="M83" s="87"/>
      <c r="N83" s="86"/>
      <c r="O83" s="87"/>
      <c r="P83" s="87"/>
      <c r="Q83" s="63">
        <f t="shared" si="1"/>
        <v>0</v>
      </c>
      <c r="T83" s="14"/>
    </row>
    <row r="84" spans="1:20" s="18" customFormat="1" ht="55.2" customHeight="1">
      <c r="A84" s="56" t="s">
        <v>152</v>
      </c>
      <c r="B84" s="56" t="s">
        <v>152</v>
      </c>
      <c r="C84" s="74"/>
      <c r="D84" s="84" t="s">
        <v>445</v>
      </c>
      <c r="E84" s="66" t="s">
        <v>32</v>
      </c>
      <c r="F84" s="59">
        <f>F85</f>
        <v>37522167</v>
      </c>
      <c r="G84" s="59">
        <f t="shared" ref="G84:P84" si="25">G85</f>
        <v>37522167</v>
      </c>
      <c r="H84" s="59">
        <f t="shared" si="25"/>
        <v>23287690</v>
      </c>
      <c r="I84" s="59">
        <f t="shared" si="25"/>
        <v>678020</v>
      </c>
      <c r="J84" s="59">
        <f t="shared" si="25"/>
        <v>0</v>
      </c>
      <c r="K84" s="59">
        <f t="shared" si="25"/>
        <v>659432</v>
      </c>
      <c r="L84" s="59">
        <f t="shared" si="25"/>
        <v>442992</v>
      </c>
      <c r="M84" s="59">
        <f t="shared" si="25"/>
        <v>216440</v>
      </c>
      <c r="N84" s="59">
        <f t="shared" si="25"/>
        <v>158390</v>
      </c>
      <c r="O84" s="59">
        <f t="shared" si="25"/>
        <v>0</v>
      </c>
      <c r="P84" s="59">
        <f t="shared" si="25"/>
        <v>442992</v>
      </c>
      <c r="Q84" s="59">
        <f t="shared" si="1"/>
        <v>38181599</v>
      </c>
      <c r="R84" s="38"/>
      <c r="T84" s="16"/>
    </row>
    <row r="85" spans="1:20" s="18" customFormat="1" ht="58.2" customHeight="1">
      <c r="A85" s="60" t="s">
        <v>153</v>
      </c>
      <c r="B85" s="60" t="s">
        <v>153</v>
      </c>
      <c r="C85" s="52"/>
      <c r="D85" s="85" t="str">
        <f>D84</f>
        <v>Управління  соціального захисту населення  міської ради</v>
      </c>
      <c r="E85" s="67"/>
      <c r="F85" s="63">
        <f>G85+J85</f>
        <v>37522167</v>
      </c>
      <c r="G85" s="63">
        <f>G86+G87+G88+G89+G90+G91+G92+G93+G94+G95+G96+G105+G107+G108+G109+G110+G111+G112+G113+G114+G115+G116+G117+G118+G122+G121+G119+G120</f>
        <v>37522167</v>
      </c>
      <c r="H85" s="63">
        <f t="shared" ref="H85:P85" si="26">H86+H87+H88+H89+H90+H91+H92+H93+H94+H95+H96+H105+H107+H108+H109+H110+H111+H112+H113+H114+H115+H116+H117+H118+H122+H121+H119+H120</f>
        <v>23287690</v>
      </c>
      <c r="I85" s="63">
        <f t="shared" si="26"/>
        <v>678020</v>
      </c>
      <c r="J85" s="63">
        <f t="shared" si="26"/>
        <v>0</v>
      </c>
      <c r="K85" s="63">
        <f>M85+P85</f>
        <v>659432</v>
      </c>
      <c r="L85" s="63">
        <f t="shared" si="26"/>
        <v>442992</v>
      </c>
      <c r="M85" s="63">
        <f t="shared" si="26"/>
        <v>216440</v>
      </c>
      <c r="N85" s="63">
        <f t="shared" si="26"/>
        <v>158390</v>
      </c>
      <c r="O85" s="63">
        <f t="shared" si="26"/>
        <v>0</v>
      </c>
      <c r="P85" s="63">
        <f t="shared" si="26"/>
        <v>442992</v>
      </c>
      <c r="Q85" s="63">
        <f t="shared" si="1"/>
        <v>38181599</v>
      </c>
      <c r="T85" s="16"/>
    </row>
    <row r="86" spans="1:20" s="6" customFormat="1" ht="82.2" customHeight="1">
      <c r="A86" s="52" t="s">
        <v>154</v>
      </c>
      <c r="B86" s="52" t="s">
        <v>326</v>
      </c>
      <c r="C86" s="52" t="s">
        <v>58</v>
      </c>
      <c r="D86" s="109" t="s">
        <v>475</v>
      </c>
      <c r="E86" s="83" t="s">
        <v>2</v>
      </c>
      <c r="F86" s="86">
        <f t="shared" si="3"/>
        <v>18648420</v>
      </c>
      <c r="G86" s="87">
        <f>16054120+200000+90800+298000+1150000+440000+415500</f>
        <v>18648420</v>
      </c>
      <c r="H86" s="87">
        <f>12665000+945000+300000+325000</f>
        <v>14235000</v>
      </c>
      <c r="I86" s="87">
        <f>276620+4300</f>
        <v>280920</v>
      </c>
      <c r="J86" s="87"/>
      <c r="K86" s="87">
        <f>M86+P86</f>
        <v>0</v>
      </c>
      <c r="L86" s="87"/>
      <c r="M86" s="87"/>
      <c r="N86" s="87"/>
      <c r="O86" s="87"/>
      <c r="P86" s="87"/>
      <c r="Q86" s="87">
        <f>F86+K86</f>
        <v>18648420</v>
      </c>
      <c r="T86" s="14"/>
    </row>
    <row r="87" spans="1:20" s="6" customFormat="1" ht="49.95" customHeight="1">
      <c r="A87" s="52" t="s">
        <v>174</v>
      </c>
      <c r="B87" s="52" t="s">
        <v>266</v>
      </c>
      <c r="C87" s="52" t="s">
        <v>69</v>
      </c>
      <c r="D87" s="109" t="s">
        <v>135</v>
      </c>
      <c r="E87" s="83"/>
      <c r="F87" s="86">
        <f t="shared" si="3"/>
        <v>23000</v>
      </c>
      <c r="G87" s="87">
        <f>10000+13000</f>
        <v>23000</v>
      </c>
      <c r="H87" s="87"/>
      <c r="I87" s="87"/>
      <c r="J87" s="87"/>
      <c r="K87" s="86">
        <f t="shared" ref="K87:K95" si="27">M87+P87</f>
        <v>0</v>
      </c>
      <c r="L87" s="86"/>
      <c r="M87" s="87"/>
      <c r="N87" s="87"/>
      <c r="O87" s="87"/>
      <c r="P87" s="87"/>
      <c r="Q87" s="63">
        <f t="shared" si="1"/>
        <v>23000</v>
      </c>
      <c r="T87" s="14"/>
    </row>
    <row r="88" spans="1:20" s="18" customFormat="1" ht="53.25" hidden="1" customHeight="1">
      <c r="A88" s="74" t="s">
        <v>155</v>
      </c>
      <c r="B88" s="52" t="s">
        <v>358</v>
      </c>
      <c r="C88" s="52" t="s">
        <v>75</v>
      </c>
      <c r="D88" s="55" t="s">
        <v>156</v>
      </c>
      <c r="E88" s="83" t="s">
        <v>28</v>
      </c>
      <c r="F88" s="86">
        <f t="shared" si="3"/>
        <v>0</v>
      </c>
      <c r="G88" s="91"/>
      <c r="H88" s="86"/>
      <c r="I88" s="86"/>
      <c r="J88" s="86"/>
      <c r="K88" s="86">
        <f t="shared" si="27"/>
        <v>0</v>
      </c>
      <c r="L88" s="86"/>
      <c r="M88" s="86"/>
      <c r="N88" s="86"/>
      <c r="O88" s="86"/>
      <c r="P88" s="86"/>
      <c r="Q88" s="63">
        <f t="shared" si="1"/>
        <v>0</v>
      </c>
      <c r="T88" s="16"/>
    </row>
    <row r="89" spans="1:20" s="18" customFormat="1" ht="40.5" hidden="1" customHeight="1">
      <c r="A89" s="74" t="s">
        <v>159</v>
      </c>
      <c r="B89" s="52" t="s">
        <v>359</v>
      </c>
      <c r="C89" s="52" t="s">
        <v>77</v>
      </c>
      <c r="D89" s="55" t="s">
        <v>101</v>
      </c>
      <c r="E89" s="83" t="s">
        <v>21</v>
      </c>
      <c r="F89" s="86">
        <f t="shared" si="3"/>
        <v>0</v>
      </c>
      <c r="G89" s="91"/>
      <c r="H89" s="86"/>
      <c r="I89" s="86"/>
      <c r="J89" s="86"/>
      <c r="K89" s="86">
        <f t="shared" si="27"/>
        <v>0</v>
      </c>
      <c r="L89" s="86"/>
      <c r="M89" s="86"/>
      <c r="N89" s="86"/>
      <c r="O89" s="86"/>
      <c r="P89" s="86"/>
      <c r="Q89" s="63">
        <f>F89+K89</f>
        <v>0</v>
      </c>
      <c r="T89" s="16"/>
    </row>
    <row r="90" spans="1:20" s="18" customFormat="1" ht="64.5" hidden="1" customHeight="1">
      <c r="A90" s="74" t="s">
        <v>157</v>
      </c>
      <c r="B90" s="52" t="s">
        <v>360</v>
      </c>
      <c r="C90" s="52" t="s">
        <v>75</v>
      </c>
      <c r="D90" s="55" t="s">
        <v>158</v>
      </c>
      <c r="E90" s="119" t="s">
        <v>17</v>
      </c>
      <c r="F90" s="86">
        <f t="shared" si="3"/>
        <v>0</v>
      </c>
      <c r="G90" s="91"/>
      <c r="H90" s="86"/>
      <c r="I90" s="86"/>
      <c r="J90" s="86"/>
      <c r="K90" s="86">
        <f t="shared" si="27"/>
        <v>0</v>
      </c>
      <c r="L90" s="86"/>
      <c r="M90" s="86"/>
      <c r="N90" s="86"/>
      <c r="O90" s="86"/>
      <c r="P90" s="86"/>
      <c r="Q90" s="63">
        <f t="shared" ref="Q90" si="28">F90+K90</f>
        <v>0</v>
      </c>
      <c r="T90" s="16"/>
    </row>
    <row r="91" spans="1:20" s="18" customFormat="1" ht="57" hidden="1" customHeight="1">
      <c r="A91" s="74" t="s">
        <v>160</v>
      </c>
      <c r="B91" s="52" t="s">
        <v>361</v>
      </c>
      <c r="C91" s="52" t="s">
        <v>77</v>
      </c>
      <c r="D91" s="55" t="s">
        <v>102</v>
      </c>
      <c r="E91" s="83" t="s">
        <v>42</v>
      </c>
      <c r="F91" s="86">
        <f t="shared" si="3"/>
        <v>0</v>
      </c>
      <c r="G91" s="91"/>
      <c r="H91" s="86"/>
      <c r="I91" s="86"/>
      <c r="J91" s="86"/>
      <c r="K91" s="86">
        <f t="shared" si="27"/>
        <v>0</v>
      </c>
      <c r="L91" s="86"/>
      <c r="M91" s="86"/>
      <c r="N91" s="86"/>
      <c r="O91" s="86"/>
      <c r="P91" s="86"/>
      <c r="Q91" s="63">
        <f>F91+K91</f>
        <v>0</v>
      </c>
      <c r="T91" s="16"/>
    </row>
    <row r="92" spans="1:20" s="18" customFormat="1" ht="33" hidden="1" customHeight="1">
      <c r="A92" s="52" t="s">
        <v>203</v>
      </c>
      <c r="B92" s="52" t="s">
        <v>362</v>
      </c>
      <c r="C92" s="52" t="s">
        <v>75</v>
      </c>
      <c r="D92" s="111" t="s">
        <v>208</v>
      </c>
      <c r="E92" s="83"/>
      <c r="F92" s="86">
        <f t="shared" ref="F92:F111" si="29">G92+J92</f>
        <v>0</v>
      </c>
      <c r="G92" s="86"/>
      <c r="H92" s="86"/>
      <c r="I92" s="86"/>
      <c r="J92" s="86"/>
      <c r="K92" s="86">
        <f t="shared" si="27"/>
        <v>0</v>
      </c>
      <c r="L92" s="86"/>
      <c r="M92" s="86"/>
      <c r="N92" s="86"/>
      <c r="O92" s="86"/>
      <c r="P92" s="86"/>
      <c r="Q92" s="63">
        <f>F92+K92</f>
        <v>0</v>
      </c>
      <c r="T92" s="16"/>
    </row>
    <row r="93" spans="1:20" s="18" customFormat="1" ht="49.2" customHeight="1">
      <c r="A93" s="52" t="s">
        <v>204</v>
      </c>
      <c r="B93" s="52" t="s">
        <v>363</v>
      </c>
      <c r="C93" s="52" t="s">
        <v>76</v>
      </c>
      <c r="D93" s="111" t="s">
        <v>283</v>
      </c>
      <c r="E93" s="83"/>
      <c r="F93" s="86">
        <f t="shared" si="29"/>
        <v>230000</v>
      </c>
      <c r="G93" s="86">
        <f>230000</f>
        <v>230000</v>
      </c>
      <c r="H93" s="86"/>
      <c r="I93" s="86"/>
      <c r="J93" s="86"/>
      <c r="K93" s="86">
        <f t="shared" si="27"/>
        <v>0</v>
      </c>
      <c r="L93" s="86"/>
      <c r="M93" s="86"/>
      <c r="N93" s="86"/>
      <c r="O93" s="86"/>
      <c r="P93" s="86"/>
      <c r="Q93" s="63">
        <f>F93+K93</f>
        <v>230000</v>
      </c>
      <c r="T93" s="16"/>
    </row>
    <row r="94" spans="1:20" s="18" customFormat="1" ht="73.95" customHeight="1">
      <c r="A94" s="52" t="s">
        <v>205</v>
      </c>
      <c r="B94" s="52" t="s">
        <v>364</v>
      </c>
      <c r="C94" s="52" t="s">
        <v>76</v>
      </c>
      <c r="D94" s="111" t="s">
        <v>207</v>
      </c>
      <c r="E94" s="83"/>
      <c r="F94" s="86">
        <f t="shared" si="29"/>
        <v>1800000</v>
      </c>
      <c r="G94" s="86">
        <f>1000000+800000</f>
        <v>1800000</v>
      </c>
      <c r="H94" s="86"/>
      <c r="I94" s="86"/>
      <c r="J94" s="86"/>
      <c r="K94" s="86">
        <f t="shared" si="27"/>
        <v>0</v>
      </c>
      <c r="L94" s="86"/>
      <c r="M94" s="86"/>
      <c r="N94" s="86"/>
      <c r="O94" s="86"/>
      <c r="P94" s="86"/>
      <c r="Q94" s="63">
        <f>F94+K94</f>
        <v>1800000</v>
      </c>
      <c r="T94" s="16"/>
    </row>
    <row r="95" spans="1:20" s="18" customFormat="1" ht="84" customHeight="1">
      <c r="A95" s="52" t="s">
        <v>206</v>
      </c>
      <c r="B95" s="52" t="s">
        <v>365</v>
      </c>
      <c r="C95" s="52" t="s">
        <v>76</v>
      </c>
      <c r="D95" s="111" t="s">
        <v>532</v>
      </c>
      <c r="E95" s="83"/>
      <c r="F95" s="86">
        <f t="shared" si="29"/>
        <v>3805000</v>
      </c>
      <c r="G95" s="86">
        <f>1500000+1610000+695000</f>
        <v>3805000</v>
      </c>
      <c r="H95" s="86"/>
      <c r="I95" s="86"/>
      <c r="J95" s="86"/>
      <c r="K95" s="86">
        <f t="shared" si="27"/>
        <v>0</v>
      </c>
      <c r="L95" s="86"/>
      <c r="M95" s="86"/>
      <c r="N95" s="86"/>
      <c r="O95" s="86"/>
      <c r="P95" s="86"/>
      <c r="Q95" s="63">
        <f>F95+K95</f>
        <v>3805000</v>
      </c>
      <c r="T95" s="16"/>
    </row>
    <row r="96" spans="1:20" s="18" customFormat="1" ht="40.5" hidden="1" customHeight="1">
      <c r="A96" s="60" t="s">
        <v>442</v>
      </c>
      <c r="B96" s="52"/>
      <c r="C96" s="67"/>
      <c r="D96" s="100" t="s">
        <v>36</v>
      </c>
      <c r="E96" s="83" t="s">
        <v>36</v>
      </c>
      <c r="F96" s="86">
        <f t="shared" si="29"/>
        <v>0</v>
      </c>
      <c r="G96" s="86"/>
      <c r="H96" s="86"/>
      <c r="I96" s="86"/>
      <c r="J96" s="86">
        <f t="shared" ref="J96:P96" si="30">J97+J98+J99+J100+J101+J102+J103</f>
        <v>0</v>
      </c>
      <c r="K96" s="86">
        <f t="shared" si="30"/>
        <v>0</v>
      </c>
      <c r="L96" s="86">
        <f t="shared" si="30"/>
        <v>0</v>
      </c>
      <c r="M96" s="86">
        <f t="shared" si="30"/>
        <v>0</v>
      </c>
      <c r="N96" s="86">
        <f t="shared" si="30"/>
        <v>0</v>
      </c>
      <c r="O96" s="86">
        <f t="shared" si="30"/>
        <v>0</v>
      </c>
      <c r="P96" s="86">
        <f t="shared" si="30"/>
        <v>0</v>
      </c>
      <c r="Q96" s="63">
        <f t="shared" ref="Q96:Q122" si="31">F96+K96</f>
        <v>0</v>
      </c>
      <c r="T96" s="16"/>
    </row>
    <row r="97" spans="1:20" s="18" customFormat="1" ht="40.5" hidden="1" customHeight="1">
      <c r="A97" s="52" t="s">
        <v>163</v>
      </c>
      <c r="B97" s="52" t="s">
        <v>366</v>
      </c>
      <c r="C97" s="52" t="s">
        <v>64</v>
      </c>
      <c r="D97" s="55" t="s">
        <v>94</v>
      </c>
      <c r="E97" s="83" t="s">
        <v>41</v>
      </c>
      <c r="F97" s="86">
        <f t="shared" si="29"/>
        <v>0</v>
      </c>
      <c r="G97" s="86"/>
      <c r="H97" s="86"/>
      <c r="I97" s="86"/>
      <c r="J97" s="86"/>
      <c r="K97" s="86">
        <f t="shared" ref="K97:K122" si="32">M97+P97</f>
        <v>0</v>
      </c>
      <c r="L97" s="86"/>
      <c r="M97" s="86"/>
      <c r="N97" s="86"/>
      <c r="O97" s="86"/>
      <c r="P97" s="86"/>
      <c r="Q97" s="63">
        <f t="shared" si="31"/>
        <v>0</v>
      </c>
      <c r="T97" s="16"/>
    </row>
    <row r="98" spans="1:20" s="18" customFormat="1" ht="40.5" hidden="1" customHeight="1">
      <c r="A98" s="52" t="s">
        <v>162</v>
      </c>
      <c r="B98" s="52" t="s">
        <v>367</v>
      </c>
      <c r="C98" s="52" t="s">
        <v>64</v>
      </c>
      <c r="D98" s="55" t="s">
        <v>99</v>
      </c>
      <c r="E98" s="83" t="s">
        <v>29</v>
      </c>
      <c r="F98" s="86">
        <f t="shared" si="29"/>
        <v>0</v>
      </c>
      <c r="G98" s="86"/>
      <c r="H98" s="86"/>
      <c r="I98" s="86"/>
      <c r="J98" s="86"/>
      <c r="K98" s="86">
        <f t="shared" si="32"/>
        <v>0</v>
      </c>
      <c r="L98" s="86"/>
      <c r="M98" s="86"/>
      <c r="N98" s="86"/>
      <c r="O98" s="86"/>
      <c r="P98" s="86"/>
      <c r="Q98" s="63">
        <f t="shared" si="31"/>
        <v>0</v>
      </c>
      <c r="T98" s="16"/>
    </row>
    <row r="99" spans="1:20" s="18" customFormat="1" ht="40.5" hidden="1" customHeight="1">
      <c r="A99" s="52" t="s">
        <v>164</v>
      </c>
      <c r="B99" s="52" t="s">
        <v>368</v>
      </c>
      <c r="C99" s="52" t="s">
        <v>64</v>
      </c>
      <c r="D99" s="55" t="s">
        <v>95</v>
      </c>
      <c r="E99" s="83" t="s">
        <v>24</v>
      </c>
      <c r="F99" s="86">
        <f t="shared" si="29"/>
        <v>0</v>
      </c>
      <c r="G99" s="86"/>
      <c r="H99" s="86"/>
      <c r="I99" s="86"/>
      <c r="J99" s="86"/>
      <c r="K99" s="86">
        <f t="shared" si="32"/>
        <v>0</v>
      </c>
      <c r="L99" s="86"/>
      <c r="M99" s="86"/>
      <c r="N99" s="86"/>
      <c r="O99" s="86"/>
      <c r="P99" s="86"/>
      <c r="Q99" s="63">
        <f t="shared" si="31"/>
        <v>0</v>
      </c>
      <c r="T99" s="16"/>
    </row>
    <row r="100" spans="1:20" s="18" customFormat="1" ht="40.5" hidden="1" customHeight="1">
      <c r="A100" s="52" t="s">
        <v>165</v>
      </c>
      <c r="B100" s="52" t="s">
        <v>369</v>
      </c>
      <c r="C100" s="52" t="s">
        <v>64</v>
      </c>
      <c r="D100" s="55" t="s">
        <v>96</v>
      </c>
      <c r="E100" s="83" t="s">
        <v>22</v>
      </c>
      <c r="F100" s="86">
        <f t="shared" si="29"/>
        <v>0</v>
      </c>
      <c r="G100" s="86"/>
      <c r="H100" s="86"/>
      <c r="I100" s="86"/>
      <c r="J100" s="86"/>
      <c r="K100" s="86">
        <f t="shared" si="32"/>
        <v>0</v>
      </c>
      <c r="L100" s="86"/>
      <c r="M100" s="86"/>
      <c r="N100" s="86"/>
      <c r="O100" s="86"/>
      <c r="P100" s="86"/>
      <c r="Q100" s="63">
        <f t="shared" si="31"/>
        <v>0</v>
      </c>
      <c r="T100" s="16"/>
    </row>
    <row r="101" spans="1:20" s="18" customFormat="1" ht="40.5" hidden="1" customHeight="1">
      <c r="A101" s="52" t="s">
        <v>166</v>
      </c>
      <c r="B101" s="52" t="s">
        <v>370</v>
      </c>
      <c r="C101" s="52" t="s">
        <v>64</v>
      </c>
      <c r="D101" s="55" t="s">
        <v>97</v>
      </c>
      <c r="E101" s="83" t="s">
        <v>30</v>
      </c>
      <c r="F101" s="86">
        <f t="shared" si="29"/>
        <v>0</v>
      </c>
      <c r="G101" s="86"/>
      <c r="H101" s="86"/>
      <c r="I101" s="86"/>
      <c r="J101" s="86"/>
      <c r="K101" s="86">
        <f t="shared" si="32"/>
        <v>0</v>
      </c>
      <c r="L101" s="86"/>
      <c r="M101" s="86"/>
      <c r="N101" s="86"/>
      <c r="O101" s="86"/>
      <c r="P101" s="86"/>
      <c r="Q101" s="63">
        <f t="shared" si="31"/>
        <v>0</v>
      </c>
      <c r="T101" s="16"/>
    </row>
    <row r="102" spans="1:20" s="18" customFormat="1" ht="40.5" hidden="1" customHeight="1">
      <c r="A102" s="52" t="s">
        <v>167</v>
      </c>
      <c r="B102" s="52" t="s">
        <v>371</v>
      </c>
      <c r="C102" s="52" t="s">
        <v>64</v>
      </c>
      <c r="D102" s="55" t="s">
        <v>98</v>
      </c>
      <c r="E102" s="83" t="s">
        <v>16</v>
      </c>
      <c r="F102" s="86">
        <f t="shared" si="29"/>
        <v>0</v>
      </c>
      <c r="G102" s="86"/>
      <c r="H102" s="86"/>
      <c r="I102" s="86"/>
      <c r="J102" s="86"/>
      <c r="K102" s="86">
        <f t="shared" si="32"/>
        <v>0</v>
      </c>
      <c r="L102" s="86"/>
      <c r="M102" s="86"/>
      <c r="N102" s="86"/>
      <c r="O102" s="86"/>
      <c r="P102" s="86"/>
      <c r="Q102" s="63">
        <f t="shared" si="31"/>
        <v>0</v>
      </c>
      <c r="T102" s="16"/>
    </row>
    <row r="103" spans="1:20" s="18" customFormat="1" ht="40.5" hidden="1" customHeight="1">
      <c r="A103" s="52" t="s">
        <v>168</v>
      </c>
      <c r="B103" s="52" t="s">
        <v>372</v>
      </c>
      <c r="C103" s="52" t="s">
        <v>64</v>
      </c>
      <c r="D103" s="55" t="s">
        <v>100</v>
      </c>
      <c r="E103" s="83" t="s">
        <v>23</v>
      </c>
      <c r="F103" s="86">
        <f t="shared" si="29"/>
        <v>0</v>
      </c>
      <c r="G103" s="86"/>
      <c r="H103" s="86"/>
      <c r="I103" s="86"/>
      <c r="J103" s="86"/>
      <c r="K103" s="86">
        <f t="shared" si="32"/>
        <v>0</v>
      </c>
      <c r="L103" s="86"/>
      <c r="M103" s="86"/>
      <c r="N103" s="86"/>
      <c r="O103" s="86"/>
      <c r="P103" s="86"/>
      <c r="Q103" s="63">
        <f t="shared" si="31"/>
        <v>0</v>
      </c>
      <c r="T103" s="16"/>
    </row>
    <row r="104" spans="1:20" s="18" customFormat="1" ht="40.5" hidden="1" customHeight="1">
      <c r="A104" s="52" t="s">
        <v>304</v>
      </c>
      <c r="B104" s="52" t="s">
        <v>373</v>
      </c>
      <c r="C104" s="52" t="s">
        <v>64</v>
      </c>
      <c r="D104" s="55" t="s">
        <v>305</v>
      </c>
      <c r="E104" s="83"/>
      <c r="F104" s="86">
        <f t="shared" si="29"/>
        <v>0</v>
      </c>
      <c r="G104" s="86"/>
      <c r="H104" s="86"/>
      <c r="I104" s="86"/>
      <c r="J104" s="86"/>
      <c r="K104" s="86"/>
      <c r="L104" s="86"/>
      <c r="M104" s="86"/>
      <c r="N104" s="86"/>
      <c r="O104" s="86"/>
      <c r="P104" s="86"/>
      <c r="Q104" s="63">
        <f t="shared" si="31"/>
        <v>0</v>
      </c>
      <c r="T104" s="16"/>
    </row>
    <row r="105" spans="1:20" s="18" customFormat="1" ht="82.95" customHeight="1">
      <c r="A105" s="52" t="s">
        <v>161</v>
      </c>
      <c r="B105" s="52" t="s">
        <v>374</v>
      </c>
      <c r="C105" s="52" t="s">
        <v>76</v>
      </c>
      <c r="D105" s="55" t="s">
        <v>93</v>
      </c>
      <c r="E105" s="83" t="s">
        <v>55</v>
      </c>
      <c r="F105" s="86">
        <f t="shared" si="29"/>
        <v>92300</v>
      </c>
      <c r="G105" s="86">
        <f>23100-23100+92300</f>
        <v>92300</v>
      </c>
      <c r="H105" s="86"/>
      <c r="I105" s="86"/>
      <c r="J105" s="86"/>
      <c r="K105" s="86">
        <f t="shared" ref="K105:K111" si="33">M105+P105</f>
        <v>0</v>
      </c>
      <c r="L105" s="86"/>
      <c r="M105" s="86"/>
      <c r="N105" s="86"/>
      <c r="O105" s="86"/>
      <c r="P105" s="86"/>
      <c r="Q105" s="63">
        <f t="shared" si="31"/>
        <v>92300</v>
      </c>
      <c r="T105" s="16"/>
    </row>
    <row r="106" spans="1:20" s="18" customFormat="1" ht="194.25" hidden="1" customHeight="1">
      <c r="A106" s="52" t="s">
        <v>169</v>
      </c>
      <c r="B106" s="52" t="s">
        <v>375</v>
      </c>
      <c r="C106" s="60"/>
      <c r="D106" s="55" t="s">
        <v>303</v>
      </c>
      <c r="E106" s="83" t="s">
        <v>50</v>
      </c>
      <c r="F106" s="86">
        <f t="shared" si="29"/>
        <v>0</v>
      </c>
      <c r="G106" s="86"/>
      <c r="H106" s="87"/>
      <c r="I106" s="87"/>
      <c r="J106" s="87"/>
      <c r="K106" s="86">
        <f t="shared" si="33"/>
        <v>0</v>
      </c>
      <c r="L106" s="86"/>
      <c r="M106" s="87"/>
      <c r="N106" s="86"/>
      <c r="O106" s="87"/>
      <c r="P106" s="87"/>
      <c r="Q106" s="63">
        <f t="shared" si="31"/>
        <v>0</v>
      </c>
      <c r="T106" s="16"/>
    </row>
    <row r="107" spans="1:20" s="18" customFormat="1" ht="45.75" hidden="1" customHeight="1">
      <c r="A107" s="52" t="s">
        <v>228</v>
      </c>
      <c r="B107" s="52" t="s">
        <v>376</v>
      </c>
      <c r="C107" s="52" t="s">
        <v>78</v>
      </c>
      <c r="D107" s="55" t="s">
        <v>233</v>
      </c>
      <c r="E107" s="83"/>
      <c r="F107" s="86">
        <f t="shared" si="29"/>
        <v>0</v>
      </c>
      <c r="G107" s="86"/>
      <c r="H107" s="87"/>
      <c r="I107" s="87"/>
      <c r="J107" s="87"/>
      <c r="K107" s="86">
        <f t="shared" si="33"/>
        <v>0</v>
      </c>
      <c r="L107" s="86"/>
      <c r="M107" s="87"/>
      <c r="N107" s="86"/>
      <c r="O107" s="87"/>
      <c r="P107" s="87"/>
      <c r="Q107" s="63">
        <f t="shared" si="31"/>
        <v>0</v>
      </c>
      <c r="T107" s="16"/>
    </row>
    <row r="108" spans="1:20" s="18" customFormat="1" ht="65.400000000000006" hidden="1" customHeight="1">
      <c r="A108" s="52" t="s">
        <v>229</v>
      </c>
      <c r="B108" s="52" t="s">
        <v>377</v>
      </c>
      <c r="C108" s="52" t="s">
        <v>78</v>
      </c>
      <c r="D108" s="55" t="s">
        <v>234</v>
      </c>
      <c r="E108" s="83"/>
      <c r="F108" s="86">
        <f t="shared" si="29"/>
        <v>0</v>
      </c>
      <c r="G108" s="86"/>
      <c r="H108" s="87"/>
      <c r="I108" s="87"/>
      <c r="J108" s="87"/>
      <c r="K108" s="86">
        <f t="shared" si="33"/>
        <v>0</v>
      </c>
      <c r="L108" s="86"/>
      <c r="M108" s="87"/>
      <c r="N108" s="86"/>
      <c r="O108" s="87"/>
      <c r="P108" s="87"/>
      <c r="Q108" s="63">
        <f t="shared" si="31"/>
        <v>0</v>
      </c>
      <c r="T108" s="16"/>
    </row>
    <row r="109" spans="1:20" s="18" customFormat="1" ht="45.6" hidden="1" customHeight="1">
      <c r="A109" s="52" t="s">
        <v>230</v>
      </c>
      <c r="B109" s="52" t="s">
        <v>378</v>
      </c>
      <c r="C109" s="52" t="s">
        <v>78</v>
      </c>
      <c r="D109" s="55" t="s">
        <v>235</v>
      </c>
      <c r="E109" s="83"/>
      <c r="F109" s="86">
        <f t="shared" si="29"/>
        <v>0</v>
      </c>
      <c r="G109" s="86"/>
      <c r="H109" s="87"/>
      <c r="I109" s="87"/>
      <c r="J109" s="87"/>
      <c r="K109" s="86">
        <f t="shared" si="33"/>
        <v>0</v>
      </c>
      <c r="L109" s="86"/>
      <c r="M109" s="87"/>
      <c r="N109" s="86"/>
      <c r="O109" s="87"/>
      <c r="P109" s="87"/>
      <c r="Q109" s="63">
        <f t="shared" si="31"/>
        <v>0</v>
      </c>
      <c r="T109" s="16"/>
    </row>
    <row r="110" spans="1:20" s="18" customFormat="1" ht="68.25" hidden="1" customHeight="1">
      <c r="A110" s="52" t="s">
        <v>231</v>
      </c>
      <c r="B110" s="52" t="s">
        <v>379</v>
      </c>
      <c r="C110" s="52" t="s">
        <v>78</v>
      </c>
      <c r="D110" s="55" t="s">
        <v>236</v>
      </c>
      <c r="E110" s="83"/>
      <c r="F110" s="86">
        <f t="shared" si="29"/>
        <v>0</v>
      </c>
      <c r="G110" s="86"/>
      <c r="H110" s="87"/>
      <c r="I110" s="87"/>
      <c r="J110" s="87"/>
      <c r="K110" s="86">
        <f t="shared" si="33"/>
        <v>0</v>
      </c>
      <c r="L110" s="86"/>
      <c r="M110" s="87"/>
      <c r="N110" s="86"/>
      <c r="O110" s="87"/>
      <c r="P110" s="87"/>
      <c r="Q110" s="63">
        <f t="shared" si="31"/>
        <v>0</v>
      </c>
      <c r="T110" s="16"/>
    </row>
    <row r="111" spans="1:20" s="18" customFormat="1" ht="81" hidden="1" customHeight="1">
      <c r="A111" s="52" t="s">
        <v>232</v>
      </c>
      <c r="B111" s="52" t="s">
        <v>380</v>
      </c>
      <c r="C111" s="52" t="s">
        <v>78</v>
      </c>
      <c r="D111" s="55" t="s">
        <v>237</v>
      </c>
      <c r="E111" s="83"/>
      <c r="F111" s="86">
        <f t="shared" si="29"/>
        <v>0</v>
      </c>
      <c r="G111" s="86"/>
      <c r="H111" s="87"/>
      <c r="I111" s="87"/>
      <c r="J111" s="87"/>
      <c r="K111" s="86">
        <f t="shared" si="33"/>
        <v>0</v>
      </c>
      <c r="L111" s="86"/>
      <c r="M111" s="87"/>
      <c r="N111" s="86"/>
      <c r="O111" s="87"/>
      <c r="P111" s="87"/>
      <c r="Q111" s="63">
        <f t="shared" si="31"/>
        <v>0</v>
      </c>
      <c r="T111" s="16"/>
    </row>
    <row r="112" spans="1:20" s="18" customFormat="1" ht="46.2" customHeight="1">
      <c r="A112" s="52" t="s">
        <v>170</v>
      </c>
      <c r="B112" s="52" t="s">
        <v>381</v>
      </c>
      <c r="C112" s="52" t="s">
        <v>75</v>
      </c>
      <c r="D112" s="55" t="s">
        <v>217</v>
      </c>
      <c r="E112" s="83" t="s">
        <v>31</v>
      </c>
      <c r="F112" s="86">
        <f>G112+J112</f>
        <v>0</v>
      </c>
      <c r="G112" s="86"/>
      <c r="H112" s="86"/>
      <c r="I112" s="86"/>
      <c r="J112" s="86"/>
      <c r="K112" s="86">
        <f t="shared" si="32"/>
        <v>0</v>
      </c>
      <c r="L112" s="86"/>
      <c r="M112" s="86"/>
      <c r="N112" s="86"/>
      <c r="O112" s="86"/>
      <c r="P112" s="86"/>
      <c r="Q112" s="63">
        <f t="shared" si="31"/>
        <v>0</v>
      </c>
      <c r="T112" s="16"/>
    </row>
    <row r="113" spans="1:20" s="6" customFormat="1" ht="115.2" customHeight="1">
      <c r="A113" s="52" t="s">
        <v>171</v>
      </c>
      <c r="B113" s="52" t="s">
        <v>382</v>
      </c>
      <c r="C113" s="52" t="s">
        <v>79</v>
      </c>
      <c r="D113" s="55" t="s">
        <v>103</v>
      </c>
      <c r="E113" s="83" t="s">
        <v>54</v>
      </c>
      <c r="F113" s="86">
        <f t="shared" ref="F113:F118" si="34">G113+J113</f>
        <v>9600300</v>
      </c>
      <c r="G113" s="86">
        <f>9069300+500000+6300+21000+3700</f>
        <v>9600300</v>
      </c>
      <c r="H113" s="87">
        <f>7045900+410000</f>
        <v>7455900</v>
      </c>
      <c r="I113" s="87">
        <f>216500+10000</f>
        <v>226500</v>
      </c>
      <c r="J113" s="87"/>
      <c r="K113" s="86">
        <f t="shared" si="32"/>
        <v>266440</v>
      </c>
      <c r="L113" s="86">
        <f>9000+41000</f>
        <v>50000</v>
      </c>
      <c r="M113" s="87">
        <v>216440</v>
      </c>
      <c r="N113" s="86">
        <v>158390</v>
      </c>
      <c r="O113" s="87"/>
      <c r="P113" s="87">
        <f>L113</f>
        <v>50000</v>
      </c>
      <c r="Q113" s="63">
        <f t="shared" si="31"/>
        <v>9866740</v>
      </c>
      <c r="T113" s="14"/>
    </row>
    <row r="114" spans="1:20" s="6" customFormat="1" ht="54" customHeight="1">
      <c r="A114" s="52" t="s">
        <v>172</v>
      </c>
      <c r="B114" s="52" t="s">
        <v>383</v>
      </c>
      <c r="C114" s="52" t="s">
        <v>78</v>
      </c>
      <c r="D114" s="55" t="s">
        <v>218</v>
      </c>
      <c r="E114" s="112" t="s">
        <v>26</v>
      </c>
      <c r="F114" s="86">
        <f t="shared" si="34"/>
        <v>2155408</v>
      </c>
      <c r="G114" s="86">
        <f>1969100+150000+36308</f>
        <v>2155408</v>
      </c>
      <c r="H114" s="87">
        <f>1387290+125000</f>
        <v>1512290</v>
      </c>
      <c r="I114" s="87">
        <v>170600</v>
      </c>
      <c r="J114" s="87"/>
      <c r="K114" s="86">
        <f t="shared" si="32"/>
        <v>0</v>
      </c>
      <c r="L114" s="86"/>
      <c r="M114" s="87"/>
      <c r="N114" s="86"/>
      <c r="O114" s="87"/>
      <c r="P114" s="87"/>
      <c r="Q114" s="63">
        <f t="shared" si="31"/>
        <v>2155408</v>
      </c>
      <c r="T114" s="14"/>
    </row>
    <row r="115" spans="1:20" s="6" customFormat="1" ht="157.94999999999999" customHeight="1">
      <c r="A115" s="52" t="s">
        <v>246</v>
      </c>
      <c r="B115" s="52" t="s">
        <v>384</v>
      </c>
      <c r="C115" s="52" t="s">
        <v>78</v>
      </c>
      <c r="D115" s="120" t="s">
        <v>247</v>
      </c>
      <c r="E115" s="112"/>
      <c r="F115" s="86">
        <f t="shared" si="34"/>
        <v>498250</v>
      </c>
      <c r="G115" s="86">
        <f>216000+282250</f>
        <v>498250</v>
      </c>
      <c r="H115" s="87"/>
      <c r="I115" s="87"/>
      <c r="J115" s="87"/>
      <c r="K115" s="86">
        <f t="shared" si="32"/>
        <v>0</v>
      </c>
      <c r="L115" s="86"/>
      <c r="M115" s="87"/>
      <c r="N115" s="86"/>
      <c r="O115" s="87"/>
      <c r="P115" s="87"/>
      <c r="Q115" s="63">
        <f t="shared" si="31"/>
        <v>498250</v>
      </c>
      <c r="T115" s="14"/>
    </row>
    <row r="116" spans="1:20" s="6" customFormat="1" ht="151.94999999999999" customHeight="1">
      <c r="A116" s="52" t="s">
        <v>219</v>
      </c>
      <c r="B116" s="52" t="s">
        <v>385</v>
      </c>
      <c r="C116" s="52" t="s">
        <v>77</v>
      </c>
      <c r="D116" s="55" t="s">
        <v>220</v>
      </c>
      <c r="E116" s="83" t="s">
        <v>3</v>
      </c>
      <c r="F116" s="86">
        <f t="shared" si="34"/>
        <v>181280</v>
      </c>
      <c r="G116" s="86">
        <f>128000+53280</f>
        <v>181280</v>
      </c>
      <c r="H116" s="87"/>
      <c r="I116" s="87"/>
      <c r="J116" s="87"/>
      <c r="K116" s="86">
        <f t="shared" si="32"/>
        <v>0</v>
      </c>
      <c r="L116" s="86"/>
      <c r="M116" s="87"/>
      <c r="N116" s="86"/>
      <c r="O116" s="87"/>
      <c r="P116" s="87"/>
      <c r="Q116" s="63">
        <f t="shared" si="31"/>
        <v>181280</v>
      </c>
      <c r="T116" s="14"/>
    </row>
    <row r="117" spans="1:20" s="6" customFormat="1" ht="110.4" customHeight="1">
      <c r="A117" s="52" t="s">
        <v>221</v>
      </c>
      <c r="B117" s="52" t="s">
        <v>386</v>
      </c>
      <c r="C117" s="52" t="s">
        <v>75</v>
      </c>
      <c r="D117" s="55" t="s">
        <v>533</v>
      </c>
      <c r="E117" s="83" t="s">
        <v>51</v>
      </c>
      <c r="F117" s="86">
        <f t="shared" si="34"/>
        <v>167780</v>
      </c>
      <c r="G117" s="86">
        <f>125000+20000+22780</f>
        <v>167780</v>
      </c>
      <c r="H117" s="87"/>
      <c r="I117" s="87"/>
      <c r="J117" s="87"/>
      <c r="K117" s="86">
        <f t="shared" si="32"/>
        <v>0</v>
      </c>
      <c r="L117" s="86"/>
      <c r="M117" s="87"/>
      <c r="N117" s="86"/>
      <c r="O117" s="87"/>
      <c r="P117" s="87"/>
      <c r="Q117" s="63">
        <f t="shared" si="31"/>
        <v>167780</v>
      </c>
      <c r="T117" s="14"/>
    </row>
    <row r="118" spans="1:20" s="6" customFormat="1" ht="73.2" customHeight="1">
      <c r="A118" s="52" t="s">
        <v>290</v>
      </c>
      <c r="B118" s="52" t="s">
        <v>387</v>
      </c>
      <c r="C118" s="52" t="s">
        <v>289</v>
      </c>
      <c r="D118" s="55" t="s">
        <v>288</v>
      </c>
      <c r="E118" s="83"/>
      <c r="F118" s="86">
        <f t="shared" si="34"/>
        <v>103250</v>
      </c>
      <c r="G118" s="86">
        <f>137250-34000</f>
        <v>103250</v>
      </c>
      <c r="H118" s="87">
        <f>112500-28000</f>
        <v>84500</v>
      </c>
      <c r="I118" s="87"/>
      <c r="J118" s="87"/>
      <c r="K118" s="86">
        <f t="shared" si="32"/>
        <v>0</v>
      </c>
      <c r="L118" s="86"/>
      <c r="M118" s="87"/>
      <c r="N118" s="86"/>
      <c r="O118" s="87"/>
      <c r="P118" s="87"/>
      <c r="Q118" s="63">
        <f t="shared" si="31"/>
        <v>103250</v>
      </c>
      <c r="T118" s="14"/>
    </row>
    <row r="119" spans="1:20" s="6" customFormat="1" ht="70.2" customHeight="1">
      <c r="A119" s="52" t="s">
        <v>239</v>
      </c>
      <c r="B119" s="52" t="s">
        <v>342</v>
      </c>
      <c r="C119" s="52" t="s">
        <v>63</v>
      </c>
      <c r="D119" s="111" t="s">
        <v>215</v>
      </c>
      <c r="E119" s="115"/>
      <c r="F119" s="86">
        <f>G119+J119</f>
        <v>121479</v>
      </c>
      <c r="G119" s="89">
        <f>150000+121479-150000</f>
        <v>121479</v>
      </c>
      <c r="H119" s="90"/>
      <c r="I119" s="90"/>
      <c r="J119" s="90"/>
      <c r="K119" s="86"/>
      <c r="L119" s="89"/>
      <c r="M119" s="90"/>
      <c r="N119" s="89"/>
      <c r="O119" s="90"/>
      <c r="P119" s="90"/>
      <c r="Q119" s="63">
        <f t="shared" si="31"/>
        <v>121479</v>
      </c>
      <c r="T119" s="14"/>
    </row>
    <row r="120" spans="1:20" s="6" customFormat="1" ht="85.95" customHeight="1">
      <c r="A120" s="52" t="s">
        <v>458</v>
      </c>
      <c r="B120" s="52" t="s">
        <v>459</v>
      </c>
      <c r="C120" s="52" t="s">
        <v>80</v>
      </c>
      <c r="D120" s="111" t="s">
        <v>460</v>
      </c>
      <c r="E120" s="115"/>
      <c r="F120" s="86"/>
      <c r="G120" s="89"/>
      <c r="H120" s="90"/>
      <c r="I120" s="90"/>
      <c r="J120" s="90"/>
      <c r="K120" s="86">
        <f t="shared" si="32"/>
        <v>372692</v>
      </c>
      <c r="L120" s="89">
        <f>259000+150000-36308</f>
        <v>372692</v>
      </c>
      <c r="M120" s="90"/>
      <c r="N120" s="89"/>
      <c r="O120" s="90"/>
      <c r="P120" s="90">
        <f>L120</f>
        <v>372692</v>
      </c>
      <c r="Q120" s="63">
        <f t="shared" si="31"/>
        <v>372692</v>
      </c>
      <c r="T120" s="14"/>
    </row>
    <row r="121" spans="1:20" s="6" customFormat="1" ht="79.95" customHeight="1">
      <c r="A121" s="52" t="s">
        <v>431</v>
      </c>
      <c r="B121" s="52" t="s">
        <v>423</v>
      </c>
      <c r="C121" s="52" t="s">
        <v>424</v>
      </c>
      <c r="D121" s="55" t="s">
        <v>425</v>
      </c>
      <c r="E121" s="115"/>
      <c r="F121" s="86">
        <f>G121+J121</f>
        <v>95700</v>
      </c>
      <c r="G121" s="89">
        <v>95700</v>
      </c>
      <c r="H121" s="90"/>
      <c r="I121" s="90"/>
      <c r="J121" s="90"/>
      <c r="K121" s="86">
        <f t="shared" si="32"/>
        <v>20300</v>
      </c>
      <c r="L121" s="89">
        <v>20300</v>
      </c>
      <c r="M121" s="89"/>
      <c r="N121" s="89"/>
      <c r="O121" s="90"/>
      <c r="P121" s="90">
        <f>L121</f>
        <v>20300</v>
      </c>
      <c r="Q121" s="63">
        <f>F121+K121</f>
        <v>116000</v>
      </c>
      <c r="T121" s="14"/>
    </row>
    <row r="122" spans="1:20" s="6" customFormat="1" ht="30" hidden="1" customHeight="1">
      <c r="A122" s="52" t="s">
        <v>302</v>
      </c>
      <c r="B122" s="52" t="s">
        <v>347</v>
      </c>
      <c r="C122" s="52" t="s">
        <v>83</v>
      </c>
      <c r="D122" s="27" t="s">
        <v>137</v>
      </c>
      <c r="E122" s="5"/>
      <c r="F122" s="29">
        <f>G122</f>
        <v>0</v>
      </c>
      <c r="G122" s="86"/>
      <c r="H122" s="87"/>
      <c r="I122" s="87"/>
      <c r="J122" s="87"/>
      <c r="K122" s="86">
        <f t="shared" si="32"/>
        <v>0</v>
      </c>
      <c r="L122" s="86"/>
      <c r="M122" s="87"/>
      <c r="N122" s="86"/>
      <c r="O122" s="87"/>
      <c r="P122" s="87"/>
      <c r="Q122" s="63">
        <f t="shared" si="31"/>
        <v>0</v>
      </c>
      <c r="T122" s="14"/>
    </row>
    <row r="123" spans="1:20" s="41" customFormat="1" ht="72.599999999999994" customHeight="1">
      <c r="A123" s="56" t="s">
        <v>84</v>
      </c>
      <c r="B123" s="56" t="s">
        <v>84</v>
      </c>
      <c r="C123" s="74"/>
      <c r="D123" s="84" t="s">
        <v>34</v>
      </c>
      <c r="E123" s="66" t="s">
        <v>34</v>
      </c>
      <c r="F123" s="59">
        <f>F124</f>
        <v>35089553</v>
      </c>
      <c r="G123" s="59">
        <f t="shared" ref="G123:P123" si="35">G124</f>
        <v>35089553</v>
      </c>
      <c r="H123" s="59">
        <f t="shared" si="35"/>
        <v>25173300</v>
      </c>
      <c r="I123" s="59">
        <f t="shared" si="35"/>
        <v>2087900</v>
      </c>
      <c r="J123" s="59">
        <f t="shared" si="35"/>
        <v>0</v>
      </c>
      <c r="K123" s="59">
        <f t="shared" si="35"/>
        <v>1471400</v>
      </c>
      <c r="L123" s="59">
        <f t="shared" si="35"/>
        <v>830400</v>
      </c>
      <c r="M123" s="59">
        <f t="shared" si="35"/>
        <v>641000</v>
      </c>
      <c r="N123" s="59">
        <f t="shared" si="35"/>
        <v>143500</v>
      </c>
      <c r="O123" s="59">
        <f t="shared" si="35"/>
        <v>0</v>
      </c>
      <c r="P123" s="59">
        <f t="shared" si="35"/>
        <v>830400</v>
      </c>
      <c r="Q123" s="59">
        <f>Q124</f>
        <v>36560953</v>
      </c>
      <c r="R123" s="40"/>
      <c r="T123" s="42"/>
    </row>
    <row r="124" spans="1:20" s="41" customFormat="1" ht="62.4" customHeight="1">
      <c r="A124" s="60" t="s">
        <v>140</v>
      </c>
      <c r="B124" s="60" t="s">
        <v>388</v>
      </c>
      <c r="C124" s="52"/>
      <c r="D124" s="85" t="str">
        <f>D123</f>
        <v>Управління культури і туризму міської ради</v>
      </c>
      <c r="E124" s="67"/>
      <c r="F124" s="63">
        <f>SUM(F125:F135)</f>
        <v>35089553</v>
      </c>
      <c r="G124" s="63">
        <f t="shared" ref="G124:P124" si="36">SUM(G125:G135)</f>
        <v>35089553</v>
      </c>
      <c r="H124" s="63">
        <f t="shared" si="36"/>
        <v>25173300</v>
      </c>
      <c r="I124" s="63">
        <f t="shared" si="36"/>
        <v>2087900</v>
      </c>
      <c r="J124" s="63">
        <f t="shared" si="36"/>
        <v>0</v>
      </c>
      <c r="K124" s="63">
        <f t="shared" si="36"/>
        <v>1471400</v>
      </c>
      <c r="L124" s="63">
        <f t="shared" si="36"/>
        <v>830400</v>
      </c>
      <c r="M124" s="63">
        <f t="shared" si="36"/>
        <v>641000</v>
      </c>
      <c r="N124" s="63">
        <f t="shared" si="36"/>
        <v>143500</v>
      </c>
      <c r="O124" s="63">
        <f t="shared" si="36"/>
        <v>0</v>
      </c>
      <c r="P124" s="63">
        <f t="shared" si="36"/>
        <v>830400</v>
      </c>
      <c r="Q124" s="63">
        <f t="shared" ref="Q124:Q185" si="37">F124+K124</f>
        <v>36560953</v>
      </c>
      <c r="T124" s="42"/>
    </row>
    <row r="125" spans="1:20" s="18" customFormat="1" ht="85.5" customHeight="1">
      <c r="A125" s="52" t="s">
        <v>175</v>
      </c>
      <c r="B125" s="52" t="s">
        <v>326</v>
      </c>
      <c r="C125" s="52" t="s">
        <v>58</v>
      </c>
      <c r="D125" s="109" t="s">
        <v>534</v>
      </c>
      <c r="E125" s="83" t="s">
        <v>2</v>
      </c>
      <c r="F125" s="86">
        <f t="shared" ref="F125:F135" si="38">G125+J125</f>
        <v>1962800</v>
      </c>
      <c r="G125" s="86">
        <f>1505400+1200+8500+32700+105000+310000</f>
        <v>1962800</v>
      </c>
      <c r="H125" s="87">
        <f>1185200+84200+251000</f>
        <v>1520400</v>
      </c>
      <c r="I125" s="87">
        <v>24400</v>
      </c>
      <c r="J125" s="87"/>
      <c r="K125" s="86">
        <f t="shared" ref="K125:K135" si="39">M125+P125</f>
        <v>0</v>
      </c>
      <c r="L125" s="86"/>
      <c r="M125" s="87"/>
      <c r="N125" s="86"/>
      <c r="O125" s="87"/>
      <c r="P125" s="87">
        <f>L125</f>
        <v>0</v>
      </c>
      <c r="Q125" s="63">
        <f t="shared" si="37"/>
        <v>1962800</v>
      </c>
      <c r="T125" s="16"/>
    </row>
    <row r="126" spans="1:20" s="18" customFormat="1" ht="54.6" customHeight="1">
      <c r="A126" s="52" t="s">
        <v>240</v>
      </c>
      <c r="B126" s="52" t="s">
        <v>266</v>
      </c>
      <c r="C126" s="52" t="s">
        <v>69</v>
      </c>
      <c r="D126" s="109" t="s">
        <v>135</v>
      </c>
      <c r="E126" s="83"/>
      <c r="F126" s="86">
        <f t="shared" si="38"/>
        <v>4000</v>
      </c>
      <c r="G126" s="86">
        <f>2000+2000</f>
        <v>4000</v>
      </c>
      <c r="H126" s="87"/>
      <c r="I126" s="87"/>
      <c r="J126" s="87"/>
      <c r="K126" s="86">
        <f t="shared" si="39"/>
        <v>0</v>
      </c>
      <c r="L126" s="86"/>
      <c r="M126" s="87"/>
      <c r="N126" s="86"/>
      <c r="O126" s="87"/>
      <c r="P126" s="87"/>
      <c r="Q126" s="63">
        <f t="shared" si="37"/>
        <v>4000</v>
      </c>
      <c r="T126" s="16"/>
    </row>
    <row r="127" spans="1:20" s="18" customFormat="1" ht="56.4" customHeight="1">
      <c r="A127" s="52" t="s">
        <v>493</v>
      </c>
      <c r="B127" s="52" t="s">
        <v>494</v>
      </c>
      <c r="C127" s="72" t="s">
        <v>72</v>
      </c>
      <c r="D127" s="113" t="s">
        <v>495</v>
      </c>
      <c r="E127" s="117"/>
      <c r="F127" s="118">
        <f>G127+J127</f>
        <v>19089800</v>
      </c>
      <c r="G127" s="86">
        <f>17361700+22900+800200+20000+445000+50000+390000</f>
        <v>19089800</v>
      </c>
      <c r="H127" s="87">
        <f>13477300+656000+365000+352000</f>
        <v>14850300</v>
      </c>
      <c r="I127" s="87">
        <f>902900+50000</f>
        <v>952900</v>
      </c>
      <c r="J127" s="87"/>
      <c r="K127" s="86">
        <f>M127+P127</f>
        <v>660000</v>
      </c>
      <c r="L127" s="86">
        <v>150000</v>
      </c>
      <c r="M127" s="87">
        <v>510000</v>
      </c>
      <c r="N127" s="86">
        <v>123000</v>
      </c>
      <c r="O127" s="87"/>
      <c r="P127" s="87">
        <f>L127</f>
        <v>150000</v>
      </c>
      <c r="Q127" s="63">
        <f>F127+K127</f>
        <v>19749800</v>
      </c>
      <c r="T127" s="16"/>
    </row>
    <row r="128" spans="1:20" s="18" customFormat="1" ht="37.200000000000003" customHeight="1">
      <c r="A128" s="52" t="s">
        <v>176</v>
      </c>
      <c r="B128" s="52" t="s">
        <v>389</v>
      </c>
      <c r="C128" s="52" t="s">
        <v>104</v>
      </c>
      <c r="D128" s="55" t="s">
        <v>177</v>
      </c>
      <c r="E128" s="83" t="s">
        <v>9</v>
      </c>
      <c r="F128" s="86">
        <f t="shared" si="38"/>
        <v>4748903</v>
      </c>
      <c r="G128" s="86">
        <f>38950+4281250+39000+195000+49851+95000+20352+9000-95000+100500+15000</f>
        <v>4748903</v>
      </c>
      <c r="H128" s="87">
        <f>3106800+160000+11500+100500</f>
        <v>3378800</v>
      </c>
      <c r="I128" s="87">
        <v>442600</v>
      </c>
      <c r="J128" s="87"/>
      <c r="K128" s="86">
        <f t="shared" si="39"/>
        <v>183000</v>
      </c>
      <c r="L128" s="86">
        <f>49000+23000+95000</f>
        <v>167000</v>
      </c>
      <c r="M128" s="86">
        <v>16000</v>
      </c>
      <c r="N128" s="87"/>
      <c r="O128" s="87"/>
      <c r="P128" s="87">
        <f>L128</f>
        <v>167000</v>
      </c>
      <c r="Q128" s="63">
        <f t="shared" si="37"/>
        <v>4931903</v>
      </c>
      <c r="T128" s="16"/>
    </row>
    <row r="129" spans="1:20" s="18" customFormat="1" ht="66.599999999999994" customHeight="1">
      <c r="A129" s="52" t="s">
        <v>178</v>
      </c>
      <c r="B129" s="52" t="s">
        <v>390</v>
      </c>
      <c r="C129" s="52" t="s">
        <v>104</v>
      </c>
      <c r="D129" s="55" t="s">
        <v>179</v>
      </c>
      <c r="E129" s="83" t="s">
        <v>10</v>
      </c>
      <c r="F129" s="86">
        <f t="shared" si="38"/>
        <v>4201650</v>
      </c>
      <c r="G129" s="86">
        <f>133750+3426900+225000+18000+158000+11500+18500+210000</f>
        <v>4201650</v>
      </c>
      <c r="H129" s="87">
        <f>2460100+130000+183000</f>
        <v>2773100</v>
      </c>
      <c r="I129" s="87">
        <v>356700</v>
      </c>
      <c r="J129" s="87"/>
      <c r="K129" s="86">
        <f t="shared" si="39"/>
        <v>70000</v>
      </c>
      <c r="L129" s="86"/>
      <c r="M129" s="86">
        <v>70000</v>
      </c>
      <c r="N129" s="87">
        <v>18000</v>
      </c>
      <c r="O129" s="87"/>
      <c r="P129" s="87"/>
      <c r="Q129" s="63">
        <f t="shared" si="37"/>
        <v>4271650</v>
      </c>
      <c r="T129" s="16"/>
    </row>
    <row r="130" spans="1:20" s="18" customFormat="1" ht="87" customHeight="1">
      <c r="A130" s="52" t="s">
        <v>181</v>
      </c>
      <c r="B130" s="52" t="s">
        <v>391</v>
      </c>
      <c r="C130" s="52" t="s">
        <v>82</v>
      </c>
      <c r="D130" s="55" t="s">
        <v>180</v>
      </c>
      <c r="E130" s="83" t="s">
        <v>11</v>
      </c>
      <c r="F130" s="86">
        <f t="shared" si="38"/>
        <v>2523800</v>
      </c>
      <c r="G130" s="86">
        <f>2200+2352100+98000+37000+34500</f>
        <v>2523800</v>
      </c>
      <c r="H130" s="87">
        <f>1681900+80000+10000</f>
        <v>1771900</v>
      </c>
      <c r="I130" s="87">
        <v>288200</v>
      </c>
      <c r="J130" s="87"/>
      <c r="K130" s="86">
        <f t="shared" si="39"/>
        <v>78400</v>
      </c>
      <c r="L130" s="86">
        <v>33400</v>
      </c>
      <c r="M130" s="86">
        <v>45000</v>
      </c>
      <c r="N130" s="87">
        <v>2500</v>
      </c>
      <c r="O130" s="87"/>
      <c r="P130" s="87">
        <f>L130</f>
        <v>33400</v>
      </c>
      <c r="Q130" s="63">
        <f t="shared" si="37"/>
        <v>2602200</v>
      </c>
      <c r="T130" s="16"/>
    </row>
    <row r="131" spans="1:20" s="18" customFormat="1" ht="58.2" customHeight="1">
      <c r="A131" s="52" t="s">
        <v>222</v>
      </c>
      <c r="B131" s="52" t="s">
        <v>392</v>
      </c>
      <c r="C131" s="52" t="s">
        <v>81</v>
      </c>
      <c r="D131" s="55" t="s">
        <v>223</v>
      </c>
      <c r="E131" s="83"/>
      <c r="F131" s="86">
        <f t="shared" si="38"/>
        <v>1125950</v>
      </c>
      <c r="G131" s="86">
        <f>1000+1042150+48800+1000+33000</f>
        <v>1125950</v>
      </c>
      <c r="H131" s="87">
        <f>816300+40000+22500</f>
        <v>878800</v>
      </c>
      <c r="I131" s="87">
        <f>22100+1000</f>
        <v>23100</v>
      </c>
      <c r="J131" s="87"/>
      <c r="K131" s="86">
        <f t="shared" si="39"/>
        <v>0</v>
      </c>
      <c r="L131" s="86"/>
      <c r="M131" s="87"/>
      <c r="N131" s="86"/>
      <c r="O131" s="87"/>
      <c r="P131" s="87"/>
      <c r="Q131" s="63">
        <f t="shared" si="37"/>
        <v>1125950</v>
      </c>
      <c r="T131" s="16"/>
    </row>
    <row r="132" spans="1:20" s="18" customFormat="1" ht="55.95" customHeight="1">
      <c r="A132" s="52" t="s">
        <v>224</v>
      </c>
      <c r="B132" s="52" t="s">
        <v>393</v>
      </c>
      <c r="C132" s="52" t="s">
        <v>81</v>
      </c>
      <c r="D132" s="55" t="s">
        <v>225</v>
      </c>
      <c r="E132" s="83"/>
      <c r="F132" s="86">
        <f t="shared" si="38"/>
        <v>1288400</v>
      </c>
      <c r="G132" s="86">
        <f>883000+61000+400000+50000+45000-500-200000+49900</f>
        <v>1288400</v>
      </c>
      <c r="H132" s="87"/>
      <c r="I132" s="87"/>
      <c r="J132" s="87"/>
      <c r="K132" s="86">
        <f t="shared" si="39"/>
        <v>217000</v>
      </c>
      <c r="L132" s="86">
        <f>17000+200000</f>
        <v>217000</v>
      </c>
      <c r="M132" s="87"/>
      <c r="N132" s="86"/>
      <c r="O132" s="87"/>
      <c r="P132" s="87">
        <f>L132</f>
        <v>217000</v>
      </c>
      <c r="Q132" s="63">
        <f t="shared" si="37"/>
        <v>1505400</v>
      </c>
      <c r="T132" s="16"/>
    </row>
    <row r="133" spans="1:20" s="18" customFormat="1" ht="63.75" hidden="1" customHeight="1">
      <c r="A133" s="52" t="s">
        <v>301</v>
      </c>
      <c r="B133" s="52" t="s">
        <v>345</v>
      </c>
      <c r="C133" s="52" t="s">
        <v>201</v>
      </c>
      <c r="D133" s="55" t="s">
        <v>323</v>
      </c>
      <c r="E133" s="83"/>
      <c r="F133" s="86">
        <f t="shared" si="38"/>
        <v>0</v>
      </c>
      <c r="G133" s="86"/>
      <c r="H133" s="87"/>
      <c r="I133" s="87"/>
      <c r="J133" s="87"/>
      <c r="K133" s="86">
        <f t="shared" si="39"/>
        <v>0</v>
      </c>
      <c r="L133" s="86"/>
      <c r="M133" s="87"/>
      <c r="N133" s="86"/>
      <c r="O133" s="87"/>
      <c r="P133" s="87"/>
      <c r="Q133" s="63">
        <f>F133+K133</f>
        <v>0</v>
      </c>
      <c r="T133" s="16"/>
    </row>
    <row r="134" spans="1:20" s="18" customFormat="1" ht="54.6" customHeight="1">
      <c r="A134" s="52" t="s">
        <v>537</v>
      </c>
      <c r="B134" s="52" t="s">
        <v>409</v>
      </c>
      <c r="C134" s="52" t="s">
        <v>80</v>
      </c>
      <c r="D134" s="113" t="s">
        <v>538</v>
      </c>
      <c r="E134" s="83"/>
      <c r="F134" s="86">
        <f t="shared" si="38"/>
        <v>0</v>
      </c>
      <c r="G134" s="89"/>
      <c r="H134" s="90"/>
      <c r="I134" s="90"/>
      <c r="J134" s="90"/>
      <c r="K134" s="86">
        <f t="shared" si="39"/>
        <v>159500</v>
      </c>
      <c r="L134" s="89">
        <f>150000+9500</f>
        <v>159500</v>
      </c>
      <c r="M134" s="90"/>
      <c r="N134" s="89"/>
      <c r="O134" s="90"/>
      <c r="P134" s="90">
        <f>L134</f>
        <v>159500</v>
      </c>
      <c r="Q134" s="63">
        <f>F134+K134</f>
        <v>159500</v>
      </c>
      <c r="T134" s="16"/>
    </row>
    <row r="135" spans="1:20" s="6" customFormat="1" ht="63.6" customHeight="1">
      <c r="A135" s="52" t="s">
        <v>432</v>
      </c>
      <c r="B135" s="52" t="s">
        <v>423</v>
      </c>
      <c r="C135" s="52" t="s">
        <v>424</v>
      </c>
      <c r="D135" s="55" t="s">
        <v>425</v>
      </c>
      <c r="E135" s="83"/>
      <c r="F135" s="86">
        <f t="shared" si="38"/>
        <v>144250</v>
      </c>
      <c r="G135" s="89">
        <f>138900+1350+2000+2000</f>
        <v>144250</v>
      </c>
      <c r="H135" s="90"/>
      <c r="I135" s="90"/>
      <c r="J135" s="90"/>
      <c r="K135" s="86">
        <f t="shared" si="39"/>
        <v>103500</v>
      </c>
      <c r="L135" s="89">
        <f>40000+34000+15000+14500</f>
        <v>103500</v>
      </c>
      <c r="M135" s="89"/>
      <c r="N135" s="89"/>
      <c r="O135" s="90"/>
      <c r="P135" s="90">
        <f>L135</f>
        <v>103500</v>
      </c>
      <c r="Q135" s="63">
        <f>F135+K135</f>
        <v>247750</v>
      </c>
      <c r="T135" s="14"/>
    </row>
    <row r="136" spans="1:20" s="18" customFormat="1" ht="82.95" customHeight="1">
      <c r="A136" s="56" t="s">
        <v>146</v>
      </c>
      <c r="B136" s="56" t="s">
        <v>146</v>
      </c>
      <c r="C136" s="74"/>
      <c r="D136" s="84" t="s">
        <v>40</v>
      </c>
      <c r="E136" s="101"/>
      <c r="F136" s="59">
        <f>F137</f>
        <v>20605872</v>
      </c>
      <c r="G136" s="59">
        <f t="shared" ref="G136:P136" si="40">G137</f>
        <v>20605872</v>
      </c>
      <c r="H136" s="59">
        <f t="shared" si="40"/>
        <v>9589900</v>
      </c>
      <c r="I136" s="102">
        <f t="shared" si="40"/>
        <v>760800</v>
      </c>
      <c r="J136" s="59">
        <f t="shared" si="40"/>
        <v>0</v>
      </c>
      <c r="K136" s="59">
        <f t="shared" si="40"/>
        <v>1969299</v>
      </c>
      <c r="L136" s="59">
        <f t="shared" si="40"/>
        <v>1881299</v>
      </c>
      <c r="M136" s="59">
        <f t="shared" si="40"/>
        <v>88000</v>
      </c>
      <c r="N136" s="59">
        <f t="shared" si="40"/>
        <v>58000</v>
      </c>
      <c r="O136" s="59">
        <f t="shared" si="40"/>
        <v>0</v>
      </c>
      <c r="P136" s="59">
        <f t="shared" si="40"/>
        <v>1881299</v>
      </c>
      <c r="Q136" s="59">
        <f t="shared" si="37"/>
        <v>22575171</v>
      </c>
      <c r="R136" s="38"/>
      <c r="T136" s="16"/>
    </row>
    <row r="137" spans="1:20" s="18" customFormat="1" ht="52.95" customHeight="1">
      <c r="A137" s="60" t="s">
        <v>147</v>
      </c>
      <c r="B137" s="60" t="s">
        <v>147</v>
      </c>
      <c r="C137" s="52"/>
      <c r="D137" s="85" t="str">
        <f>D136</f>
        <v>Відділ з питань фізичної культури та спорту Ніжинської міської ради</v>
      </c>
      <c r="E137" s="70"/>
      <c r="F137" s="63">
        <f t="shared" ref="F137:P137" si="41">SUM(F138:F146)</f>
        <v>20605872</v>
      </c>
      <c r="G137" s="63">
        <f t="shared" si="41"/>
        <v>20605872</v>
      </c>
      <c r="H137" s="63">
        <f t="shared" si="41"/>
        <v>9589900</v>
      </c>
      <c r="I137" s="63">
        <f t="shared" si="41"/>
        <v>760800</v>
      </c>
      <c r="J137" s="63">
        <f t="shared" si="41"/>
        <v>0</v>
      </c>
      <c r="K137" s="63">
        <f t="shared" si="41"/>
        <v>1969299</v>
      </c>
      <c r="L137" s="63">
        <f>SUM(L138:L146)</f>
        <v>1881299</v>
      </c>
      <c r="M137" s="63">
        <f t="shared" si="41"/>
        <v>88000</v>
      </c>
      <c r="N137" s="63">
        <f t="shared" si="41"/>
        <v>58000</v>
      </c>
      <c r="O137" s="63">
        <f t="shared" si="41"/>
        <v>0</v>
      </c>
      <c r="P137" s="63">
        <f t="shared" si="41"/>
        <v>1881299</v>
      </c>
      <c r="Q137" s="63">
        <f t="shared" si="37"/>
        <v>22575171</v>
      </c>
      <c r="T137" s="16"/>
    </row>
    <row r="138" spans="1:20" s="18" customFormat="1" ht="85.2" customHeight="1">
      <c r="A138" s="52" t="s">
        <v>148</v>
      </c>
      <c r="B138" s="52" t="s">
        <v>326</v>
      </c>
      <c r="C138" s="52" t="s">
        <v>58</v>
      </c>
      <c r="D138" s="109" t="s">
        <v>534</v>
      </c>
      <c r="E138" s="83"/>
      <c r="F138" s="86">
        <f t="shared" ref="F138:F146" si="42">G138+J138</f>
        <v>1505000</v>
      </c>
      <c r="G138" s="86">
        <f>1317000+500+2000+45000+140500</f>
        <v>1505000</v>
      </c>
      <c r="H138" s="87">
        <f>1041900+40000+115500</f>
        <v>1197400</v>
      </c>
      <c r="I138" s="87">
        <v>24700</v>
      </c>
      <c r="J138" s="87"/>
      <c r="K138" s="86">
        <f>M138+P138</f>
        <v>7000</v>
      </c>
      <c r="L138" s="86">
        <v>7000</v>
      </c>
      <c r="M138" s="87"/>
      <c r="N138" s="86"/>
      <c r="O138" s="87"/>
      <c r="P138" s="87">
        <f>L138</f>
        <v>7000</v>
      </c>
      <c r="Q138" s="63">
        <f t="shared" si="37"/>
        <v>1512000</v>
      </c>
      <c r="T138" s="16"/>
    </row>
    <row r="139" spans="1:20" s="18" customFormat="1" ht="54.6" customHeight="1">
      <c r="A139" s="52" t="s">
        <v>287</v>
      </c>
      <c r="B139" s="52" t="s">
        <v>266</v>
      </c>
      <c r="C139" s="65" t="s">
        <v>69</v>
      </c>
      <c r="D139" s="121" t="s">
        <v>135</v>
      </c>
      <c r="E139" s="83"/>
      <c r="F139" s="86">
        <f t="shared" si="42"/>
        <v>2000</v>
      </c>
      <c r="G139" s="86">
        <f>2000</f>
        <v>2000</v>
      </c>
      <c r="H139" s="87"/>
      <c r="I139" s="87"/>
      <c r="J139" s="87"/>
      <c r="K139" s="86"/>
      <c r="L139" s="86"/>
      <c r="M139" s="87"/>
      <c r="N139" s="86"/>
      <c r="O139" s="87"/>
      <c r="P139" s="87"/>
      <c r="Q139" s="63">
        <f t="shared" si="37"/>
        <v>2000</v>
      </c>
      <c r="T139" s="16"/>
    </row>
    <row r="140" spans="1:20" s="18" customFormat="1" ht="58.95" customHeight="1">
      <c r="A140" s="52" t="s">
        <v>198</v>
      </c>
      <c r="B140" s="52" t="s">
        <v>394</v>
      </c>
      <c r="C140" s="52" t="s">
        <v>74</v>
      </c>
      <c r="D140" s="55" t="s">
        <v>90</v>
      </c>
      <c r="E140" s="83"/>
      <c r="F140" s="86">
        <f t="shared" si="42"/>
        <v>1128000</v>
      </c>
      <c r="G140" s="86">
        <f>950000+35000+50000+100000-10000-40000+30000+25000-5000-7000</f>
        <v>1128000</v>
      </c>
      <c r="H140" s="87"/>
      <c r="I140" s="87"/>
      <c r="J140" s="87"/>
      <c r="K140" s="86">
        <f t="shared" ref="K140:K146" si="43">M140+P140</f>
        <v>20000</v>
      </c>
      <c r="L140" s="86">
        <f>20000</f>
        <v>20000</v>
      </c>
      <c r="M140" s="87"/>
      <c r="N140" s="86"/>
      <c r="O140" s="87"/>
      <c r="P140" s="87">
        <f>L140</f>
        <v>20000</v>
      </c>
      <c r="Q140" s="63">
        <f t="shared" si="37"/>
        <v>1148000</v>
      </c>
      <c r="T140" s="16"/>
    </row>
    <row r="141" spans="1:20" s="18" customFormat="1" ht="56.4" customHeight="1">
      <c r="A141" s="52" t="s">
        <v>149</v>
      </c>
      <c r="B141" s="52" t="s">
        <v>395</v>
      </c>
      <c r="C141" s="52" t="s">
        <v>74</v>
      </c>
      <c r="D141" s="55" t="s">
        <v>91</v>
      </c>
      <c r="E141" s="83"/>
      <c r="F141" s="86">
        <f t="shared" si="42"/>
        <v>610700</v>
      </c>
      <c r="G141" s="86">
        <f>210000+15000+50000+48200+49000+130000+45000-15000+40000-18700-2000-800+60000</f>
        <v>610700</v>
      </c>
      <c r="H141" s="87"/>
      <c r="I141" s="87"/>
      <c r="J141" s="87"/>
      <c r="K141" s="86">
        <f t="shared" si="43"/>
        <v>17500</v>
      </c>
      <c r="L141" s="86">
        <f>18700-1200</f>
        <v>17500</v>
      </c>
      <c r="M141" s="87"/>
      <c r="N141" s="86"/>
      <c r="O141" s="87"/>
      <c r="P141" s="87">
        <f>L141</f>
        <v>17500</v>
      </c>
      <c r="Q141" s="63">
        <f t="shared" si="37"/>
        <v>628200</v>
      </c>
      <c r="T141" s="16"/>
    </row>
    <row r="142" spans="1:20" s="18" customFormat="1" ht="78.599999999999994" customHeight="1">
      <c r="A142" s="52" t="s">
        <v>464</v>
      </c>
      <c r="B142" s="52" t="s">
        <v>354</v>
      </c>
      <c r="C142" s="72" t="s">
        <v>74</v>
      </c>
      <c r="D142" s="122" t="s">
        <v>89</v>
      </c>
      <c r="E142" s="83"/>
      <c r="F142" s="95">
        <f t="shared" si="42"/>
        <v>9115800</v>
      </c>
      <c r="G142" s="95">
        <f>2400+8151100+111800+450000-30000-1500-3000+10000+235000+190000</f>
        <v>9115800</v>
      </c>
      <c r="H142" s="96">
        <f>5881800+370000+195000+155700</f>
        <v>6602500</v>
      </c>
      <c r="I142" s="96">
        <v>531100</v>
      </c>
      <c r="J142" s="87"/>
      <c r="K142" s="86">
        <f t="shared" si="43"/>
        <v>0</v>
      </c>
      <c r="L142" s="86"/>
      <c r="M142" s="87"/>
      <c r="N142" s="86"/>
      <c r="O142" s="87"/>
      <c r="P142" s="87"/>
      <c r="Q142" s="99">
        <f t="shared" si="37"/>
        <v>9115800</v>
      </c>
      <c r="T142" s="16"/>
    </row>
    <row r="143" spans="1:20" s="18" customFormat="1" ht="82.95" customHeight="1">
      <c r="A143" s="52" t="s">
        <v>151</v>
      </c>
      <c r="B143" s="52" t="s">
        <v>396</v>
      </c>
      <c r="C143" s="52" t="s">
        <v>74</v>
      </c>
      <c r="D143" s="55" t="s">
        <v>92</v>
      </c>
      <c r="E143" s="83"/>
      <c r="F143" s="86">
        <f t="shared" si="42"/>
        <v>2387000</v>
      </c>
      <c r="G143" s="86">
        <f>1396500+250000+560000+180500</f>
        <v>2387000</v>
      </c>
      <c r="H143" s="87"/>
      <c r="I143" s="87"/>
      <c r="J143" s="87"/>
      <c r="K143" s="86">
        <f t="shared" si="43"/>
        <v>0</v>
      </c>
      <c r="L143" s="86"/>
      <c r="M143" s="87"/>
      <c r="N143" s="86"/>
      <c r="O143" s="87"/>
      <c r="P143" s="87"/>
      <c r="Q143" s="63">
        <f t="shared" si="37"/>
        <v>2387000</v>
      </c>
      <c r="T143" s="16"/>
    </row>
    <row r="144" spans="1:20" s="18" customFormat="1" ht="112.2" customHeight="1">
      <c r="A144" s="52" t="s">
        <v>150</v>
      </c>
      <c r="B144" s="52" t="s">
        <v>397</v>
      </c>
      <c r="C144" s="52" t="s">
        <v>74</v>
      </c>
      <c r="D144" s="55" t="s">
        <v>284</v>
      </c>
      <c r="E144" s="123"/>
      <c r="F144" s="86">
        <f t="shared" si="42"/>
        <v>5815772</v>
      </c>
      <c r="G144" s="86">
        <f>47100+3680000+24649+99999+99000+397124+399500+409000+300000+11600+172300+17800+25000+49000+49000+30000+4700</f>
        <v>5815772</v>
      </c>
      <c r="H144" s="87">
        <v>1790000</v>
      </c>
      <c r="I144" s="87">
        <f>175000+30000</f>
        <v>205000</v>
      </c>
      <c r="J144" s="87"/>
      <c r="K144" s="86">
        <f t="shared" si="43"/>
        <v>1924799</v>
      </c>
      <c r="L144" s="86">
        <f>434800+99999+25000+1200000+32000+45000</f>
        <v>1836799</v>
      </c>
      <c r="M144" s="87">
        <v>88000</v>
      </c>
      <c r="N144" s="86">
        <v>58000</v>
      </c>
      <c r="O144" s="87"/>
      <c r="P144" s="87">
        <f>L144</f>
        <v>1836799</v>
      </c>
      <c r="Q144" s="63">
        <f>F144+K144</f>
        <v>7740571</v>
      </c>
      <c r="T144" s="16"/>
    </row>
    <row r="145" spans="1:20" s="18" customFormat="1" ht="48.6" hidden="1" customHeight="1">
      <c r="A145" s="52" t="s">
        <v>269</v>
      </c>
      <c r="B145" s="52" t="s">
        <v>345</v>
      </c>
      <c r="C145" s="52" t="s">
        <v>201</v>
      </c>
      <c r="D145" s="55" t="s">
        <v>263</v>
      </c>
      <c r="E145" s="123"/>
      <c r="F145" s="86">
        <f t="shared" si="42"/>
        <v>0</v>
      </c>
      <c r="G145" s="86">
        <v>0</v>
      </c>
      <c r="H145" s="87"/>
      <c r="I145" s="87"/>
      <c r="J145" s="87"/>
      <c r="K145" s="86">
        <f t="shared" si="43"/>
        <v>0</v>
      </c>
      <c r="L145" s="86"/>
      <c r="M145" s="87"/>
      <c r="N145" s="86"/>
      <c r="O145" s="87"/>
      <c r="P145" s="87"/>
      <c r="Q145" s="63">
        <f>F145+K145</f>
        <v>0</v>
      </c>
      <c r="T145" s="16"/>
    </row>
    <row r="146" spans="1:20" s="6" customFormat="1" ht="66" customHeight="1">
      <c r="A146" s="52" t="s">
        <v>433</v>
      </c>
      <c r="B146" s="52" t="s">
        <v>423</v>
      </c>
      <c r="C146" s="52" t="s">
        <v>424</v>
      </c>
      <c r="D146" s="55" t="s">
        <v>425</v>
      </c>
      <c r="E146" s="123"/>
      <c r="F146" s="86">
        <f t="shared" si="42"/>
        <v>41600</v>
      </c>
      <c r="G146" s="89">
        <f>30100+3500+3000+4000+1000</f>
        <v>41600</v>
      </c>
      <c r="H146" s="90"/>
      <c r="I146" s="90"/>
      <c r="J146" s="90"/>
      <c r="K146" s="86">
        <f t="shared" si="43"/>
        <v>0</v>
      </c>
      <c r="L146" s="89"/>
      <c r="M146" s="89"/>
      <c r="N146" s="89"/>
      <c r="O146" s="90"/>
      <c r="P146" s="90"/>
      <c r="Q146" s="63">
        <f>F146+K146</f>
        <v>41600</v>
      </c>
      <c r="T146" s="14"/>
    </row>
    <row r="147" spans="1:20" s="18" customFormat="1" ht="79.95" customHeight="1">
      <c r="A147" s="56" t="s">
        <v>182</v>
      </c>
      <c r="B147" s="56" t="s">
        <v>182</v>
      </c>
      <c r="C147" s="56"/>
      <c r="D147" s="84" t="s">
        <v>33</v>
      </c>
      <c r="E147" s="103" t="s">
        <v>33</v>
      </c>
      <c r="F147" s="59">
        <f>F148</f>
        <v>65134617.879999995</v>
      </c>
      <c r="G147" s="59">
        <f>G148</f>
        <v>44594066.879999995</v>
      </c>
      <c r="H147" s="59">
        <f>H148</f>
        <v>4424000</v>
      </c>
      <c r="I147" s="59">
        <f>I148</f>
        <v>6627300</v>
      </c>
      <c r="J147" s="59">
        <f t="shared" ref="J147:P147" si="44">J148</f>
        <v>20540551</v>
      </c>
      <c r="K147" s="59">
        <f t="shared" si="44"/>
        <v>62142281.140000001</v>
      </c>
      <c r="L147" s="59">
        <f t="shared" si="44"/>
        <v>60941351</v>
      </c>
      <c r="M147" s="59">
        <f t="shared" si="44"/>
        <v>1130930.1399999999</v>
      </c>
      <c r="N147" s="59">
        <f t="shared" si="44"/>
        <v>0</v>
      </c>
      <c r="O147" s="59">
        <f t="shared" si="44"/>
        <v>0</v>
      </c>
      <c r="P147" s="59">
        <f t="shared" si="44"/>
        <v>61011351</v>
      </c>
      <c r="Q147" s="59">
        <f t="shared" si="37"/>
        <v>127276899.02</v>
      </c>
      <c r="T147" s="16"/>
    </row>
    <row r="148" spans="1:20" s="19" customFormat="1" ht="79.95" customHeight="1">
      <c r="A148" s="75" t="s">
        <v>183</v>
      </c>
      <c r="B148" s="75" t="s">
        <v>183</v>
      </c>
      <c r="C148" s="73"/>
      <c r="D148" s="104" t="str">
        <f>D147</f>
        <v>Управління житлово-комунального господарства та будівництва міської ради</v>
      </c>
      <c r="E148" s="105"/>
      <c r="F148" s="106">
        <f t="shared" ref="F148:O148" si="45">SUM(F149:F184)</f>
        <v>65134617.879999995</v>
      </c>
      <c r="G148" s="106">
        <f t="shared" si="45"/>
        <v>44594066.879999995</v>
      </c>
      <c r="H148" s="106">
        <f t="shared" si="45"/>
        <v>4424000</v>
      </c>
      <c r="I148" s="106">
        <f t="shared" si="45"/>
        <v>6627300</v>
      </c>
      <c r="J148" s="106">
        <f t="shared" si="45"/>
        <v>20540551</v>
      </c>
      <c r="K148" s="106">
        <f>SUM(K149:K184)+K185</f>
        <v>62142281.140000001</v>
      </c>
      <c r="L148" s="106">
        <f>SUM(L149:L184)+L185</f>
        <v>60941351</v>
      </c>
      <c r="M148" s="106">
        <f t="shared" si="45"/>
        <v>1130930.1399999999</v>
      </c>
      <c r="N148" s="106">
        <f t="shared" si="45"/>
        <v>0</v>
      </c>
      <c r="O148" s="106">
        <f t="shared" si="45"/>
        <v>0</v>
      </c>
      <c r="P148" s="106">
        <f>SUM(P149:P184)+P185</f>
        <v>61011351</v>
      </c>
      <c r="Q148" s="63">
        <f t="shared" si="37"/>
        <v>127276899.02</v>
      </c>
      <c r="T148" s="20"/>
    </row>
    <row r="149" spans="1:20" s="6" customFormat="1" ht="84" customHeight="1">
      <c r="A149" s="52" t="s">
        <v>184</v>
      </c>
      <c r="B149" s="52" t="s">
        <v>326</v>
      </c>
      <c r="C149" s="52" t="s">
        <v>58</v>
      </c>
      <c r="D149" s="109" t="s">
        <v>475</v>
      </c>
      <c r="E149" s="83" t="s">
        <v>2</v>
      </c>
      <c r="F149" s="86">
        <f t="shared" ref="F149:F185" si="46">G149+J149</f>
        <v>5817300</v>
      </c>
      <c r="G149" s="86">
        <f>4885300+250000+49000+125000+25000+45000+15000+145000+229000+49000</f>
        <v>5817300</v>
      </c>
      <c r="H149" s="87">
        <f>3800000+200000+125000+119000+180000</f>
        <v>4424000</v>
      </c>
      <c r="I149" s="87">
        <f>168300+49000</f>
        <v>217300</v>
      </c>
      <c r="J149" s="87"/>
      <c r="K149" s="86">
        <f t="shared" ref="K149:K185" si="47">M149+P149</f>
        <v>1710000</v>
      </c>
      <c r="L149" s="86">
        <f>1500000-10000</f>
        <v>1490000</v>
      </c>
      <c r="M149" s="96">
        <v>150000</v>
      </c>
      <c r="N149" s="86"/>
      <c r="O149" s="87"/>
      <c r="P149" s="87">
        <f>70000+1500000-10000</f>
        <v>1560000</v>
      </c>
      <c r="Q149" s="63">
        <f t="shared" si="37"/>
        <v>7527300</v>
      </c>
      <c r="T149" s="14"/>
    </row>
    <row r="150" spans="1:20" s="6" customFormat="1" ht="51.6" customHeight="1">
      <c r="A150" s="52" t="s">
        <v>268</v>
      </c>
      <c r="B150" s="52" t="s">
        <v>266</v>
      </c>
      <c r="C150" s="52" t="s">
        <v>69</v>
      </c>
      <c r="D150" s="109" t="s">
        <v>135</v>
      </c>
      <c r="E150" s="83"/>
      <c r="F150" s="86">
        <f t="shared" si="46"/>
        <v>15000</v>
      </c>
      <c r="G150" s="86">
        <f>15000</f>
        <v>15000</v>
      </c>
      <c r="H150" s="87"/>
      <c r="I150" s="87"/>
      <c r="J150" s="87"/>
      <c r="K150" s="86">
        <f t="shared" si="47"/>
        <v>0</v>
      </c>
      <c r="L150" s="86"/>
      <c r="M150" s="87"/>
      <c r="N150" s="86"/>
      <c r="O150" s="87"/>
      <c r="P150" s="87"/>
      <c r="Q150" s="63">
        <f t="shared" si="37"/>
        <v>15000</v>
      </c>
      <c r="T150" s="14"/>
    </row>
    <row r="151" spans="1:20" s="6" customFormat="1" ht="52.2" customHeight="1">
      <c r="A151" s="52" t="s">
        <v>291</v>
      </c>
      <c r="B151" s="52" t="s">
        <v>387</v>
      </c>
      <c r="C151" s="52" t="s">
        <v>289</v>
      </c>
      <c r="D151" s="55" t="s">
        <v>288</v>
      </c>
      <c r="E151" s="83"/>
      <c r="F151" s="86">
        <f t="shared" si="46"/>
        <v>84000</v>
      </c>
      <c r="G151" s="86">
        <f>150000-116000+50000</f>
        <v>84000</v>
      </c>
      <c r="H151" s="87"/>
      <c r="I151" s="87"/>
      <c r="J151" s="87"/>
      <c r="K151" s="86">
        <f t="shared" si="47"/>
        <v>0</v>
      </c>
      <c r="L151" s="86"/>
      <c r="M151" s="87"/>
      <c r="N151" s="86"/>
      <c r="O151" s="87"/>
      <c r="P151" s="87"/>
      <c r="Q151" s="63">
        <f t="shared" si="37"/>
        <v>84000</v>
      </c>
      <c r="T151" s="14"/>
    </row>
    <row r="152" spans="1:20" s="6" customFormat="1" ht="48" hidden="1" customHeight="1">
      <c r="A152" s="52" t="s">
        <v>312</v>
      </c>
      <c r="B152" s="52" t="s">
        <v>398</v>
      </c>
      <c r="C152" s="52" t="s">
        <v>74</v>
      </c>
      <c r="D152" s="55" t="s">
        <v>313</v>
      </c>
      <c r="E152" s="83"/>
      <c r="F152" s="86">
        <f t="shared" si="46"/>
        <v>0</v>
      </c>
      <c r="G152" s="86"/>
      <c r="H152" s="87"/>
      <c r="I152" s="87"/>
      <c r="J152" s="87"/>
      <c r="K152" s="86">
        <f t="shared" si="47"/>
        <v>0</v>
      </c>
      <c r="L152" s="86"/>
      <c r="M152" s="87"/>
      <c r="N152" s="86"/>
      <c r="O152" s="87"/>
      <c r="P152" s="87">
        <f>L152</f>
        <v>0</v>
      </c>
      <c r="Q152" s="63">
        <f t="shared" si="37"/>
        <v>0</v>
      </c>
      <c r="T152" s="14"/>
    </row>
    <row r="153" spans="1:20" s="17" customFormat="1" ht="34.200000000000003" hidden="1" customHeight="1">
      <c r="A153" s="52" t="s">
        <v>185</v>
      </c>
      <c r="B153" s="52" t="s">
        <v>399</v>
      </c>
      <c r="C153" s="52" t="s">
        <v>65</v>
      </c>
      <c r="D153" s="55" t="s">
        <v>272</v>
      </c>
      <c r="E153" s="124" t="s">
        <v>44</v>
      </c>
      <c r="F153" s="86">
        <f t="shared" si="46"/>
        <v>0</v>
      </c>
      <c r="G153" s="86"/>
      <c r="H153" s="87"/>
      <c r="I153" s="87"/>
      <c r="J153" s="87"/>
      <c r="K153" s="86">
        <f t="shared" si="47"/>
        <v>0</v>
      </c>
      <c r="L153" s="86"/>
      <c r="M153" s="87"/>
      <c r="N153" s="86"/>
      <c r="O153" s="87"/>
      <c r="P153" s="87"/>
      <c r="Q153" s="63">
        <f t="shared" si="37"/>
        <v>0</v>
      </c>
      <c r="T153" s="14"/>
    </row>
    <row r="154" spans="1:20" s="6" customFormat="1" ht="34.200000000000003" hidden="1" customHeight="1">
      <c r="A154" s="76">
        <v>1216011</v>
      </c>
      <c r="B154" s="52" t="s">
        <v>400</v>
      </c>
      <c r="C154" s="52" t="s">
        <v>65</v>
      </c>
      <c r="D154" s="111" t="s">
        <v>243</v>
      </c>
      <c r="E154" s="83"/>
      <c r="F154" s="86">
        <f t="shared" si="46"/>
        <v>0</v>
      </c>
      <c r="G154" s="86"/>
      <c r="H154" s="87"/>
      <c r="I154" s="87"/>
      <c r="J154" s="87"/>
      <c r="K154" s="86">
        <f t="shared" si="47"/>
        <v>0</v>
      </c>
      <c r="L154" s="86"/>
      <c r="M154" s="87"/>
      <c r="N154" s="86"/>
      <c r="O154" s="87"/>
      <c r="P154" s="87">
        <f>L154</f>
        <v>0</v>
      </c>
      <c r="Q154" s="63">
        <f t="shared" si="37"/>
        <v>0</v>
      </c>
      <c r="T154" s="14"/>
    </row>
    <row r="155" spans="1:20" s="6" customFormat="1" ht="54.6" customHeight="1">
      <c r="A155" s="76">
        <v>1215045</v>
      </c>
      <c r="B155" s="52" t="s">
        <v>398</v>
      </c>
      <c r="C155" s="52" t="s">
        <v>74</v>
      </c>
      <c r="D155" s="111" t="s">
        <v>461</v>
      </c>
      <c r="E155" s="83"/>
      <c r="F155" s="86">
        <f t="shared" si="46"/>
        <v>0</v>
      </c>
      <c r="G155" s="86"/>
      <c r="H155" s="87"/>
      <c r="I155" s="87"/>
      <c r="J155" s="87"/>
      <c r="K155" s="86">
        <f t="shared" si="47"/>
        <v>0</v>
      </c>
      <c r="L155" s="86">
        <f>1500000-1500000</f>
        <v>0</v>
      </c>
      <c r="M155" s="87"/>
      <c r="N155" s="86"/>
      <c r="O155" s="87"/>
      <c r="P155" s="87">
        <f>L155</f>
        <v>0</v>
      </c>
      <c r="Q155" s="63">
        <f t="shared" si="37"/>
        <v>0</v>
      </c>
      <c r="T155" s="14"/>
    </row>
    <row r="156" spans="1:20" s="6" customFormat="1" ht="49.2" customHeight="1">
      <c r="A156" s="76">
        <v>1216011</v>
      </c>
      <c r="B156" s="52" t="s">
        <v>400</v>
      </c>
      <c r="C156" s="52" t="s">
        <v>295</v>
      </c>
      <c r="D156" s="111" t="s">
        <v>463</v>
      </c>
      <c r="E156" s="83"/>
      <c r="F156" s="86">
        <f t="shared" si="46"/>
        <v>354140</v>
      </c>
      <c r="G156" s="86">
        <f>354140</f>
        <v>354140</v>
      </c>
      <c r="H156" s="87"/>
      <c r="I156" s="87"/>
      <c r="J156" s="87"/>
      <c r="K156" s="86">
        <f t="shared" si="47"/>
        <v>1167306</v>
      </c>
      <c r="L156" s="86">
        <f>600000+567306</f>
        <v>1167306</v>
      </c>
      <c r="M156" s="87"/>
      <c r="N156" s="86"/>
      <c r="O156" s="87"/>
      <c r="P156" s="87">
        <f>L156</f>
        <v>1167306</v>
      </c>
      <c r="Q156" s="63">
        <f t="shared" si="37"/>
        <v>1521446</v>
      </c>
      <c r="T156" s="14"/>
    </row>
    <row r="157" spans="1:20" s="6" customFormat="1" ht="47.4" customHeight="1">
      <c r="A157" s="76">
        <v>1216013</v>
      </c>
      <c r="B157" s="52" t="s">
        <v>401</v>
      </c>
      <c r="C157" s="52" t="s">
        <v>65</v>
      </c>
      <c r="D157" s="111" t="s">
        <v>255</v>
      </c>
      <c r="E157" s="83"/>
      <c r="F157" s="86">
        <f t="shared" si="46"/>
        <v>0</v>
      </c>
      <c r="G157" s="86">
        <f>300000-300000</f>
        <v>0</v>
      </c>
      <c r="H157" s="87"/>
      <c r="I157" s="87"/>
      <c r="J157" s="87"/>
      <c r="K157" s="86">
        <f t="shared" si="47"/>
        <v>0</v>
      </c>
      <c r="L157" s="86"/>
      <c r="M157" s="87"/>
      <c r="N157" s="86"/>
      <c r="O157" s="87"/>
      <c r="P157" s="87"/>
      <c r="Q157" s="63">
        <f t="shared" si="37"/>
        <v>0</v>
      </c>
      <c r="T157" s="14"/>
    </row>
    <row r="158" spans="1:20" s="6" customFormat="1" ht="73.2" customHeight="1">
      <c r="A158" s="76">
        <v>1216016</v>
      </c>
      <c r="B158" s="52" t="s">
        <v>434</v>
      </c>
      <c r="C158" s="52" t="s">
        <v>65</v>
      </c>
      <c r="D158" s="111" t="s">
        <v>435</v>
      </c>
      <c r="E158" s="83"/>
      <c r="F158" s="86">
        <f>G158+J158</f>
        <v>0</v>
      </c>
      <c r="G158" s="86"/>
      <c r="H158" s="87"/>
      <c r="I158" s="87"/>
      <c r="J158" s="87">
        <f>300000-300000</f>
        <v>0</v>
      </c>
      <c r="K158" s="86">
        <f>M158+P158</f>
        <v>0</v>
      </c>
      <c r="L158" s="86"/>
      <c r="M158" s="87"/>
      <c r="N158" s="86"/>
      <c r="O158" s="87"/>
      <c r="P158" s="87">
        <f>L158</f>
        <v>0</v>
      </c>
      <c r="Q158" s="63">
        <f>F158+K158</f>
        <v>0</v>
      </c>
      <c r="T158" s="14"/>
    </row>
    <row r="159" spans="1:20" s="6" customFormat="1" ht="34.200000000000003" hidden="1" customHeight="1">
      <c r="A159" s="76">
        <v>1216017</v>
      </c>
      <c r="B159" s="52" t="s">
        <v>402</v>
      </c>
      <c r="C159" s="52" t="s">
        <v>65</v>
      </c>
      <c r="D159" s="111" t="s">
        <v>273</v>
      </c>
      <c r="E159" s="83"/>
      <c r="F159" s="86">
        <f t="shared" si="46"/>
        <v>0</v>
      </c>
      <c r="G159" s="86"/>
      <c r="H159" s="87"/>
      <c r="I159" s="87"/>
      <c r="J159" s="87"/>
      <c r="K159" s="86">
        <f t="shared" si="47"/>
        <v>0</v>
      </c>
      <c r="L159" s="86"/>
      <c r="M159" s="87"/>
      <c r="N159" s="86"/>
      <c r="O159" s="87"/>
      <c r="P159" s="87"/>
      <c r="Q159" s="63">
        <f t="shared" si="37"/>
        <v>0</v>
      </c>
      <c r="T159" s="14"/>
    </row>
    <row r="160" spans="1:20" s="6" customFormat="1" ht="99.6" customHeight="1">
      <c r="A160" s="77">
        <v>1216020</v>
      </c>
      <c r="B160" s="52" t="s">
        <v>403</v>
      </c>
      <c r="C160" s="73" t="s">
        <v>65</v>
      </c>
      <c r="D160" s="125" t="s">
        <v>252</v>
      </c>
      <c r="E160" s="83"/>
      <c r="F160" s="86">
        <f t="shared" si="46"/>
        <v>4903950</v>
      </c>
      <c r="G160" s="86"/>
      <c r="H160" s="87"/>
      <c r="I160" s="87"/>
      <c r="J160" s="87">
        <f>400000+1200000+1020000+71950+1012000+600000+600000</f>
        <v>4903950</v>
      </c>
      <c r="K160" s="86">
        <f t="shared" si="47"/>
        <v>0</v>
      </c>
      <c r="L160" s="86"/>
      <c r="M160" s="87"/>
      <c r="N160" s="86"/>
      <c r="O160" s="87"/>
      <c r="P160" s="87">
        <f>L160</f>
        <v>0</v>
      </c>
      <c r="Q160" s="63">
        <f t="shared" si="37"/>
        <v>4903950</v>
      </c>
      <c r="T160" s="14"/>
    </row>
    <row r="161" spans="1:20" s="6" customFormat="1" ht="51" customHeight="1">
      <c r="A161" s="52" t="s">
        <v>186</v>
      </c>
      <c r="B161" s="52" t="s">
        <v>404</v>
      </c>
      <c r="C161" s="52" t="s">
        <v>65</v>
      </c>
      <c r="D161" s="55" t="s">
        <v>187</v>
      </c>
      <c r="E161" s="83" t="s">
        <v>45</v>
      </c>
      <c r="F161" s="86">
        <f t="shared" si="46"/>
        <v>35286407.879999995</v>
      </c>
      <c r="G161" s="86">
        <f>16258500+49000-54500+95000+99000+99999+99999+73900+400000+400000+49000+90000+219922.98+280077.02+26513.88+49000+49000-49000+49000+98000-100000-80000+49000+49000+26000+80000+48000+100000+49000-100000+1000000+198000+48000+40000+10000+15000+11100+45000+70000+1000000+49850+49900+42000+49000+49000</f>
        <v>21180261.879999999</v>
      </c>
      <c r="H161" s="87"/>
      <c r="I161" s="87">
        <v>6410000</v>
      </c>
      <c r="J161" s="87">
        <f>11295000+1408741+43270+1359135</f>
        <v>14106146</v>
      </c>
      <c r="K161" s="86">
        <f t="shared" si="47"/>
        <v>759616.12</v>
      </c>
      <c r="L161" s="86">
        <f>100000+80000+30000+20000+100000+199000+42630+49500+135000</f>
        <v>756130</v>
      </c>
      <c r="M161" s="87">
        <f>3486.12</f>
        <v>3486.12</v>
      </c>
      <c r="N161" s="86"/>
      <c r="O161" s="87"/>
      <c r="P161" s="87">
        <f>L161</f>
        <v>756130</v>
      </c>
      <c r="Q161" s="63">
        <f t="shared" si="37"/>
        <v>36046023.999999993</v>
      </c>
      <c r="T161" s="14"/>
    </row>
    <row r="162" spans="1:20" s="18" customFormat="1" ht="41.4" customHeight="1">
      <c r="A162" s="76">
        <v>1217130</v>
      </c>
      <c r="B162" s="52" t="s">
        <v>344</v>
      </c>
      <c r="C162" s="52" t="s">
        <v>67</v>
      </c>
      <c r="D162" s="126" t="s">
        <v>112</v>
      </c>
      <c r="E162" s="115"/>
      <c r="F162" s="86">
        <f t="shared" si="46"/>
        <v>69000</v>
      </c>
      <c r="G162" s="86">
        <f>20000+49000</f>
        <v>69000</v>
      </c>
      <c r="H162" s="97"/>
      <c r="I162" s="97"/>
      <c r="J162" s="86"/>
      <c r="K162" s="86">
        <f t="shared" si="47"/>
        <v>0</v>
      </c>
      <c r="L162" s="86"/>
      <c r="M162" s="86"/>
      <c r="N162" s="86"/>
      <c r="O162" s="86"/>
      <c r="P162" s="86"/>
      <c r="Q162" s="63">
        <f t="shared" si="37"/>
        <v>69000</v>
      </c>
      <c r="T162" s="16"/>
    </row>
    <row r="163" spans="1:20" s="6" customFormat="1" ht="34.950000000000003" hidden="1" customHeight="1">
      <c r="A163" s="52" t="s">
        <v>248</v>
      </c>
      <c r="B163" s="52" t="s">
        <v>405</v>
      </c>
      <c r="C163" s="52"/>
      <c r="D163" s="120" t="s">
        <v>543</v>
      </c>
      <c r="E163" s="115" t="s">
        <v>13</v>
      </c>
      <c r="F163" s="86">
        <f t="shared" si="46"/>
        <v>0</v>
      </c>
      <c r="G163" s="86"/>
      <c r="H163" s="87"/>
      <c r="I163" s="87"/>
      <c r="J163" s="87"/>
      <c r="K163" s="86">
        <f t="shared" si="47"/>
        <v>0</v>
      </c>
      <c r="L163" s="86"/>
      <c r="M163" s="87"/>
      <c r="N163" s="86"/>
      <c r="O163" s="87"/>
      <c r="P163" s="87"/>
      <c r="Q163" s="63">
        <f t="shared" si="37"/>
        <v>0</v>
      </c>
      <c r="T163" s="14"/>
    </row>
    <row r="164" spans="1:20" s="6" customFormat="1" ht="49.2" customHeight="1">
      <c r="A164" s="52" t="s">
        <v>249</v>
      </c>
      <c r="B164" s="52" t="s">
        <v>355</v>
      </c>
      <c r="C164" s="64" t="s">
        <v>80</v>
      </c>
      <c r="D164" s="110" t="s">
        <v>545</v>
      </c>
      <c r="E164" s="115"/>
      <c r="F164" s="86">
        <f t="shared" si="46"/>
        <v>0</v>
      </c>
      <c r="G164" s="86"/>
      <c r="H164" s="87"/>
      <c r="I164" s="87"/>
      <c r="J164" s="87"/>
      <c r="K164" s="86">
        <f t="shared" si="47"/>
        <v>150000</v>
      </c>
      <c r="L164" s="86">
        <f>1852492+150000-1852492</f>
        <v>150000</v>
      </c>
      <c r="M164" s="87"/>
      <c r="N164" s="86"/>
      <c r="O164" s="87"/>
      <c r="P164" s="87">
        <f>L164</f>
        <v>150000</v>
      </c>
      <c r="Q164" s="63">
        <f t="shared" si="37"/>
        <v>150000</v>
      </c>
      <c r="T164" s="14"/>
    </row>
    <row r="165" spans="1:20" s="6" customFormat="1" ht="49.2" customHeight="1">
      <c r="A165" s="52" t="s">
        <v>462</v>
      </c>
      <c r="B165" s="52" t="s">
        <v>406</v>
      </c>
      <c r="C165" s="64" t="s">
        <v>80</v>
      </c>
      <c r="D165" s="110" t="s">
        <v>444</v>
      </c>
      <c r="E165" s="115"/>
      <c r="F165" s="86">
        <f t="shared" si="46"/>
        <v>0</v>
      </c>
      <c r="G165" s="86"/>
      <c r="H165" s="87"/>
      <c r="I165" s="87"/>
      <c r="J165" s="87"/>
      <c r="K165" s="86">
        <f t="shared" si="47"/>
        <v>170000</v>
      </c>
      <c r="L165" s="86">
        <f>170000+100000-100000-170000+170000</f>
        <v>170000</v>
      </c>
      <c r="M165" s="87"/>
      <c r="N165" s="86"/>
      <c r="O165" s="87"/>
      <c r="P165" s="87">
        <f>L165</f>
        <v>170000</v>
      </c>
      <c r="Q165" s="63">
        <f t="shared" si="37"/>
        <v>170000</v>
      </c>
      <c r="T165" s="14"/>
    </row>
    <row r="166" spans="1:20" s="6" customFormat="1" ht="49.2" customHeight="1">
      <c r="A166" s="52" t="s">
        <v>250</v>
      </c>
      <c r="B166" s="52" t="s">
        <v>407</v>
      </c>
      <c r="C166" s="64" t="s">
        <v>80</v>
      </c>
      <c r="D166" s="110" t="s">
        <v>546</v>
      </c>
      <c r="E166" s="115"/>
      <c r="F166" s="86">
        <f t="shared" si="46"/>
        <v>0</v>
      </c>
      <c r="G166" s="86"/>
      <c r="H166" s="87"/>
      <c r="I166" s="87"/>
      <c r="J166" s="87"/>
      <c r="K166" s="86">
        <f t="shared" si="47"/>
        <v>2090075</v>
      </c>
      <c r="L166" s="86">
        <f>1000000+1500000+400000+3504.15+196495.85-199000-314625-49900+49900-496300</f>
        <v>2090075</v>
      </c>
      <c r="M166" s="87"/>
      <c r="N166" s="86"/>
      <c r="O166" s="87"/>
      <c r="P166" s="87">
        <f>L166</f>
        <v>2090075</v>
      </c>
      <c r="Q166" s="63">
        <f t="shared" si="37"/>
        <v>2090075</v>
      </c>
      <c r="T166" s="14"/>
    </row>
    <row r="167" spans="1:20" s="6" customFormat="1" ht="3" hidden="1" customHeight="1">
      <c r="A167" s="52" t="s">
        <v>250</v>
      </c>
      <c r="B167" s="52" t="s">
        <v>407</v>
      </c>
      <c r="C167" s="52" t="s">
        <v>80</v>
      </c>
      <c r="D167" s="127" t="s">
        <v>544</v>
      </c>
      <c r="E167" s="83"/>
      <c r="F167" s="86">
        <f t="shared" si="46"/>
        <v>0</v>
      </c>
      <c r="G167" s="86"/>
      <c r="H167" s="87"/>
      <c r="I167" s="87"/>
      <c r="J167" s="87"/>
      <c r="K167" s="86">
        <f t="shared" si="47"/>
        <v>0</v>
      </c>
      <c r="L167" s="86"/>
      <c r="M167" s="87"/>
      <c r="N167" s="86"/>
      <c r="O167" s="87"/>
      <c r="P167" s="87"/>
      <c r="Q167" s="63">
        <f t="shared" si="37"/>
        <v>0</v>
      </c>
      <c r="T167" s="14"/>
    </row>
    <row r="168" spans="1:20" s="6" customFormat="1" ht="56.4" customHeight="1">
      <c r="A168" s="52" t="s">
        <v>251</v>
      </c>
      <c r="B168" s="52" t="s">
        <v>408</v>
      </c>
      <c r="C168" s="52" t="s">
        <v>80</v>
      </c>
      <c r="D168" s="110" t="s">
        <v>547</v>
      </c>
      <c r="E168" s="83"/>
      <c r="F168" s="86">
        <f t="shared" si="46"/>
        <v>0</v>
      </c>
      <c r="G168" s="86"/>
      <c r="H168" s="87"/>
      <c r="I168" s="87"/>
      <c r="J168" s="87"/>
      <c r="K168" s="86">
        <f t="shared" si="47"/>
        <v>14802759</v>
      </c>
      <c r="L168" s="86">
        <f>900807+1434557+4255139+525050+11242591+5516938+3000000+550000+50000+98000+49000+60000+300000-11242591-1000000+98000+148300-4118046-150000-53245-63241-248000+250000+200000+500000+50000+2400000+49500</f>
        <v>14802759</v>
      </c>
      <c r="M168" s="87"/>
      <c r="N168" s="86"/>
      <c r="O168" s="87"/>
      <c r="P168" s="87">
        <f>L168</f>
        <v>14802759</v>
      </c>
      <c r="Q168" s="63">
        <f t="shared" si="37"/>
        <v>14802759</v>
      </c>
      <c r="T168" s="14"/>
    </row>
    <row r="169" spans="1:20" s="6" customFormat="1" ht="53.4" customHeight="1">
      <c r="A169" s="52" t="s">
        <v>267</v>
      </c>
      <c r="B169" s="52" t="s">
        <v>409</v>
      </c>
      <c r="C169" s="52" t="s">
        <v>80</v>
      </c>
      <c r="D169" s="110" t="s">
        <v>285</v>
      </c>
      <c r="E169" s="83"/>
      <c r="F169" s="86">
        <f t="shared" si="46"/>
        <v>0</v>
      </c>
      <c r="G169" s="86"/>
      <c r="H169" s="87"/>
      <c r="I169" s="87"/>
      <c r="J169" s="87"/>
      <c r="K169" s="86">
        <f t="shared" si="47"/>
        <v>50000</v>
      </c>
      <c r="L169" s="86">
        <f>50000</f>
        <v>50000</v>
      </c>
      <c r="M169" s="87"/>
      <c r="N169" s="86"/>
      <c r="O169" s="87"/>
      <c r="P169" s="87">
        <f>L169</f>
        <v>50000</v>
      </c>
      <c r="Q169" s="63">
        <f t="shared" si="37"/>
        <v>50000</v>
      </c>
      <c r="T169" s="14"/>
    </row>
    <row r="170" spans="1:20" s="6" customFormat="1" ht="31.95" hidden="1" customHeight="1">
      <c r="A170" s="52" t="s">
        <v>188</v>
      </c>
      <c r="B170" s="52" t="s">
        <v>410</v>
      </c>
      <c r="C170" s="52" t="s">
        <v>80</v>
      </c>
      <c r="D170" s="55" t="s">
        <v>189</v>
      </c>
      <c r="E170" s="83" t="s">
        <v>14</v>
      </c>
      <c r="F170" s="86">
        <f t="shared" si="46"/>
        <v>0</v>
      </c>
      <c r="G170" s="86"/>
      <c r="H170" s="87"/>
      <c r="I170" s="87"/>
      <c r="J170" s="87"/>
      <c r="K170" s="86">
        <f t="shared" si="47"/>
        <v>0</v>
      </c>
      <c r="L170" s="86"/>
      <c r="M170" s="87"/>
      <c r="N170" s="86"/>
      <c r="O170" s="87"/>
      <c r="P170" s="87">
        <f t="shared" ref="P170:P173" si="48">L170</f>
        <v>0</v>
      </c>
      <c r="Q170" s="63">
        <f t="shared" si="37"/>
        <v>0</v>
      </c>
      <c r="T170" s="14"/>
    </row>
    <row r="171" spans="1:20" s="6" customFormat="1" ht="48.6" hidden="1" customHeight="1">
      <c r="A171" s="52" t="s">
        <v>259</v>
      </c>
      <c r="B171" s="52" t="s">
        <v>411</v>
      </c>
      <c r="C171" s="52" t="s">
        <v>201</v>
      </c>
      <c r="D171" s="110" t="s">
        <v>260</v>
      </c>
      <c r="E171" s="83"/>
      <c r="F171" s="86">
        <f t="shared" si="46"/>
        <v>0</v>
      </c>
      <c r="G171" s="86"/>
      <c r="H171" s="87"/>
      <c r="I171" s="87"/>
      <c r="J171" s="87"/>
      <c r="K171" s="86">
        <f t="shared" si="47"/>
        <v>0</v>
      </c>
      <c r="L171" s="86"/>
      <c r="M171" s="87"/>
      <c r="N171" s="86"/>
      <c r="O171" s="87"/>
      <c r="P171" s="87">
        <f t="shared" si="48"/>
        <v>0</v>
      </c>
      <c r="Q171" s="63">
        <f t="shared" si="37"/>
        <v>0</v>
      </c>
      <c r="T171" s="14"/>
    </row>
    <row r="172" spans="1:20" s="6" customFormat="1" ht="48.6" hidden="1" customHeight="1">
      <c r="A172" s="52" t="s">
        <v>306</v>
      </c>
      <c r="B172" s="52" t="s">
        <v>412</v>
      </c>
      <c r="C172" s="52" t="s">
        <v>201</v>
      </c>
      <c r="D172" s="110" t="s">
        <v>307</v>
      </c>
      <c r="E172" s="83"/>
      <c r="F172" s="86">
        <f t="shared" si="46"/>
        <v>0</v>
      </c>
      <c r="G172" s="86"/>
      <c r="H172" s="87"/>
      <c r="I172" s="87"/>
      <c r="J172" s="87"/>
      <c r="K172" s="86">
        <f t="shared" si="47"/>
        <v>0</v>
      </c>
      <c r="L172" s="86"/>
      <c r="M172" s="87"/>
      <c r="N172" s="86"/>
      <c r="O172" s="87"/>
      <c r="P172" s="87">
        <f t="shared" si="48"/>
        <v>0</v>
      </c>
      <c r="Q172" s="63">
        <f t="shared" si="37"/>
        <v>0</v>
      </c>
      <c r="T172" s="14"/>
    </row>
    <row r="173" spans="1:20" s="6" customFormat="1" ht="48.6" hidden="1" customHeight="1">
      <c r="A173" s="52" t="s">
        <v>262</v>
      </c>
      <c r="B173" s="52" t="s">
        <v>345</v>
      </c>
      <c r="C173" s="52" t="s">
        <v>201</v>
      </c>
      <c r="D173" s="110" t="s">
        <v>263</v>
      </c>
      <c r="E173" s="83"/>
      <c r="F173" s="86">
        <f t="shared" si="46"/>
        <v>0</v>
      </c>
      <c r="G173" s="86"/>
      <c r="H173" s="87"/>
      <c r="I173" s="87"/>
      <c r="J173" s="87"/>
      <c r="K173" s="86">
        <f t="shared" si="47"/>
        <v>0</v>
      </c>
      <c r="L173" s="86"/>
      <c r="M173" s="87"/>
      <c r="N173" s="86"/>
      <c r="O173" s="87"/>
      <c r="P173" s="87">
        <f t="shared" si="48"/>
        <v>0</v>
      </c>
      <c r="Q173" s="63">
        <f t="shared" si="37"/>
        <v>0</v>
      </c>
      <c r="T173" s="14"/>
    </row>
    <row r="174" spans="1:20" s="6" customFormat="1" ht="66" customHeight="1">
      <c r="A174" s="52" t="s">
        <v>188</v>
      </c>
      <c r="B174" s="52" t="s">
        <v>410</v>
      </c>
      <c r="C174" s="52" t="s">
        <v>80</v>
      </c>
      <c r="D174" s="110" t="s">
        <v>421</v>
      </c>
      <c r="E174" s="83"/>
      <c r="F174" s="86">
        <f t="shared" si="46"/>
        <v>0</v>
      </c>
      <c r="G174" s="86"/>
      <c r="H174" s="87"/>
      <c r="I174" s="87"/>
      <c r="J174" s="87"/>
      <c r="K174" s="86">
        <f t="shared" si="47"/>
        <v>0</v>
      </c>
      <c r="L174" s="86"/>
      <c r="M174" s="87"/>
      <c r="N174" s="86"/>
      <c r="O174" s="87"/>
      <c r="P174" s="87"/>
      <c r="Q174" s="63">
        <f t="shared" si="37"/>
        <v>0</v>
      </c>
      <c r="T174" s="14"/>
    </row>
    <row r="175" spans="1:20" s="6" customFormat="1" ht="105.6" customHeight="1">
      <c r="A175" s="52" t="s">
        <v>468</v>
      </c>
      <c r="B175" s="52" t="s">
        <v>469</v>
      </c>
      <c r="C175" s="52" t="s">
        <v>201</v>
      </c>
      <c r="D175" s="110" t="s">
        <v>470</v>
      </c>
      <c r="E175" s="83"/>
      <c r="F175" s="86">
        <f t="shared" si="46"/>
        <v>0</v>
      </c>
      <c r="G175" s="86"/>
      <c r="H175" s="87"/>
      <c r="I175" s="87"/>
      <c r="J175" s="87"/>
      <c r="K175" s="86">
        <f>M175+P175</f>
        <v>7676991</v>
      </c>
      <c r="L175" s="86">
        <f>4422935+2254056+1000000</f>
        <v>7676991</v>
      </c>
      <c r="M175" s="87"/>
      <c r="N175" s="86"/>
      <c r="O175" s="87"/>
      <c r="P175" s="87">
        <f>L175</f>
        <v>7676991</v>
      </c>
      <c r="Q175" s="63">
        <f t="shared" si="37"/>
        <v>7676991</v>
      </c>
      <c r="T175" s="14"/>
    </row>
    <row r="176" spans="1:20" s="6" customFormat="1" ht="78" customHeight="1">
      <c r="A176" s="52" t="s">
        <v>258</v>
      </c>
      <c r="B176" s="52" t="s">
        <v>413</v>
      </c>
      <c r="C176" s="52" t="s">
        <v>245</v>
      </c>
      <c r="D176" s="127" t="s">
        <v>257</v>
      </c>
      <c r="E176" s="83"/>
      <c r="F176" s="86">
        <f t="shared" si="46"/>
        <v>16258365</v>
      </c>
      <c r="G176" s="86">
        <f>14750000-191635-800000+2500000</f>
        <v>16258365</v>
      </c>
      <c r="H176" s="87"/>
      <c r="I176" s="87"/>
      <c r="J176" s="87"/>
      <c r="K176" s="86">
        <f t="shared" si="47"/>
        <v>26540857.870000001</v>
      </c>
      <c r="L176" s="86">
        <f>15857591+49000+11242591+191635+800000+49900-2881456-3200000+3732083+94800+49000+545396+50000-50000</f>
        <v>26530540</v>
      </c>
      <c r="M176" s="87">
        <f>8898.19+1419.68</f>
        <v>10317.870000000001</v>
      </c>
      <c r="N176" s="86"/>
      <c r="O176" s="87"/>
      <c r="P176" s="87">
        <f>L176</f>
        <v>26530540</v>
      </c>
      <c r="Q176" s="63">
        <f t="shared" si="37"/>
        <v>42799222.870000005</v>
      </c>
      <c r="T176" s="14"/>
    </row>
    <row r="177" spans="1:20" s="6" customFormat="1" ht="50.4" customHeight="1">
      <c r="A177" s="52" t="s">
        <v>436</v>
      </c>
      <c r="B177" s="52" t="s">
        <v>423</v>
      </c>
      <c r="C177" s="52" t="s">
        <v>424</v>
      </c>
      <c r="D177" s="55" t="s">
        <v>425</v>
      </c>
      <c r="E177" s="115"/>
      <c r="F177" s="86">
        <f t="shared" si="46"/>
        <v>30200</v>
      </c>
      <c r="G177" s="89">
        <f>55000-24800</f>
        <v>30200</v>
      </c>
      <c r="H177" s="90"/>
      <c r="I177" s="90"/>
      <c r="J177" s="90"/>
      <c r="K177" s="86">
        <f t="shared" si="47"/>
        <v>24800</v>
      </c>
      <c r="L177" s="89">
        <f>24800</f>
        <v>24800</v>
      </c>
      <c r="M177" s="89"/>
      <c r="N177" s="89"/>
      <c r="O177" s="90"/>
      <c r="P177" s="90">
        <f>L177</f>
        <v>24800</v>
      </c>
      <c r="Q177" s="63">
        <f>F177+K177</f>
        <v>55000</v>
      </c>
      <c r="T177" s="14"/>
    </row>
    <row r="178" spans="1:20" s="6" customFormat="1" ht="42" customHeight="1">
      <c r="A178" s="52" t="s">
        <v>437</v>
      </c>
      <c r="B178" s="52" t="s">
        <v>347</v>
      </c>
      <c r="C178" s="52" t="s">
        <v>83</v>
      </c>
      <c r="D178" s="55" t="s">
        <v>137</v>
      </c>
      <c r="E178" s="83"/>
      <c r="F178" s="86">
        <f t="shared" si="46"/>
        <v>1050000</v>
      </c>
      <c r="G178" s="86"/>
      <c r="H178" s="87"/>
      <c r="I178" s="87"/>
      <c r="J178" s="87">
        <f>50000+1000000</f>
        <v>1050000</v>
      </c>
      <c r="K178" s="86">
        <f t="shared" si="47"/>
        <v>0</v>
      </c>
      <c r="L178" s="86"/>
      <c r="M178" s="87"/>
      <c r="N178" s="86"/>
      <c r="O178" s="87"/>
      <c r="P178" s="87"/>
      <c r="Q178" s="63">
        <f t="shared" si="37"/>
        <v>1050000</v>
      </c>
      <c r="T178" s="14"/>
    </row>
    <row r="179" spans="1:20" s="6" customFormat="1" ht="55.95" customHeight="1">
      <c r="A179" s="52" t="s">
        <v>242</v>
      </c>
      <c r="B179" s="52" t="s">
        <v>348</v>
      </c>
      <c r="C179" s="52" t="s">
        <v>201</v>
      </c>
      <c r="D179" s="55" t="s">
        <v>286</v>
      </c>
      <c r="E179" s="83"/>
      <c r="F179" s="86">
        <f t="shared" si="46"/>
        <v>0</v>
      </c>
      <c r="G179" s="86"/>
      <c r="H179" s="87"/>
      <c r="I179" s="87"/>
      <c r="J179" s="87"/>
      <c r="K179" s="86">
        <f>M179+P179</f>
        <v>6032750</v>
      </c>
      <c r="L179" s="86">
        <f>3565000+44400+493750+346000+25000+150300+980000+428300</f>
        <v>6032750</v>
      </c>
      <c r="M179" s="87"/>
      <c r="N179" s="86"/>
      <c r="O179" s="87"/>
      <c r="P179" s="87">
        <f>L179</f>
        <v>6032750</v>
      </c>
      <c r="Q179" s="63">
        <f>F179+K179</f>
        <v>6032750</v>
      </c>
      <c r="T179" s="14"/>
    </row>
    <row r="180" spans="1:20" s="6" customFormat="1" ht="53.4" customHeight="1">
      <c r="A180" s="52" t="s">
        <v>451</v>
      </c>
      <c r="B180" s="52" t="s">
        <v>452</v>
      </c>
      <c r="C180" s="52" t="s">
        <v>201</v>
      </c>
      <c r="D180" s="55" t="s">
        <v>453</v>
      </c>
      <c r="E180" s="83"/>
      <c r="F180" s="86">
        <f>G180+J180</f>
        <v>480455</v>
      </c>
      <c r="G180" s="86"/>
      <c r="H180" s="87"/>
      <c r="I180" s="87"/>
      <c r="J180" s="87">
        <f>110455+61838+188162+120000</f>
        <v>480455</v>
      </c>
      <c r="K180" s="86">
        <v>0</v>
      </c>
      <c r="L180" s="86"/>
      <c r="M180" s="87"/>
      <c r="N180" s="86"/>
      <c r="O180" s="87"/>
      <c r="P180" s="87"/>
      <c r="Q180" s="63">
        <f>F180+K180</f>
        <v>480455</v>
      </c>
      <c r="T180" s="14"/>
    </row>
    <row r="181" spans="1:20" s="6" customFormat="1" ht="73.2" customHeight="1">
      <c r="A181" s="52" t="s">
        <v>190</v>
      </c>
      <c r="B181" s="52" t="s">
        <v>350</v>
      </c>
      <c r="C181" s="52" t="s">
        <v>68</v>
      </c>
      <c r="D181" s="55" t="s">
        <v>226</v>
      </c>
      <c r="E181" s="83" t="s">
        <v>38</v>
      </c>
      <c r="F181" s="86">
        <f t="shared" si="46"/>
        <v>285800</v>
      </c>
      <c r="G181" s="86">
        <f>285800</f>
        <v>285800</v>
      </c>
      <c r="H181" s="87"/>
      <c r="I181" s="87"/>
      <c r="J181" s="87"/>
      <c r="K181" s="86">
        <f t="shared" si="47"/>
        <v>0</v>
      </c>
      <c r="L181" s="86"/>
      <c r="M181" s="87"/>
      <c r="N181" s="86"/>
      <c r="O181" s="87"/>
      <c r="P181" s="87">
        <f>L181</f>
        <v>0</v>
      </c>
      <c r="Q181" s="63">
        <f t="shared" si="37"/>
        <v>285800</v>
      </c>
      <c r="T181" s="14"/>
    </row>
    <row r="182" spans="1:20" s="6" customFormat="1" ht="51.6" customHeight="1">
      <c r="A182" s="52" t="s">
        <v>191</v>
      </c>
      <c r="B182" s="52" t="s">
        <v>357</v>
      </c>
      <c r="C182" s="52" t="s">
        <v>68</v>
      </c>
      <c r="D182" s="55" t="s">
        <v>192</v>
      </c>
      <c r="E182" s="83" t="s">
        <v>18</v>
      </c>
      <c r="F182" s="86">
        <f t="shared" si="46"/>
        <v>100000</v>
      </c>
      <c r="G182" s="86">
        <f>100000</f>
        <v>100000</v>
      </c>
      <c r="H182" s="87"/>
      <c r="I182" s="87"/>
      <c r="J182" s="87"/>
      <c r="K182" s="86">
        <f t="shared" si="47"/>
        <v>0</v>
      </c>
      <c r="L182" s="86"/>
      <c r="M182" s="87"/>
      <c r="N182" s="86"/>
      <c r="O182" s="87"/>
      <c r="P182" s="87"/>
      <c r="Q182" s="63">
        <f t="shared" si="37"/>
        <v>100000</v>
      </c>
      <c r="T182" s="14"/>
    </row>
    <row r="183" spans="1:20" s="6" customFormat="1" ht="62.4" customHeight="1">
      <c r="A183" s="65" t="s">
        <v>438</v>
      </c>
      <c r="B183" s="65" t="s">
        <v>427</v>
      </c>
      <c r="C183" s="65" t="s">
        <v>428</v>
      </c>
      <c r="D183" s="114" t="s">
        <v>429</v>
      </c>
      <c r="E183" s="83" t="s">
        <v>4</v>
      </c>
      <c r="F183" s="89">
        <f t="shared" si="46"/>
        <v>400000</v>
      </c>
      <c r="G183" s="89">
        <f>400000</f>
        <v>400000</v>
      </c>
      <c r="H183" s="90"/>
      <c r="I183" s="90"/>
      <c r="J183" s="90"/>
      <c r="K183" s="86">
        <f t="shared" si="47"/>
        <v>0</v>
      </c>
      <c r="L183" s="89"/>
      <c r="M183" s="89"/>
      <c r="N183" s="89"/>
      <c r="O183" s="90"/>
      <c r="P183" s="90"/>
      <c r="Q183" s="63">
        <f t="shared" si="37"/>
        <v>400000</v>
      </c>
      <c r="T183" s="14"/>
    </row>
    <row r="184" spans="1:20" s="6" customFormat="1" ht="62.4" customHeight="1">
      <c r="A184" s="52" t="s">
        <v>199</v>
      </c>
      <c r="B184" s="52" t="s">
        <v>414</v>
      </c>
      <c r="C184" s="52" t="s">
        <v>193</v>
      </c>
      <c r="D184" s="55" t="s">
        <v>200</v>
      </c>
      <c r="E184" s="83" t="s">
        <v>53</v>
      </c>
      <c r="F184" s="86">
        <f t="shared" si="46"/>
        <v>0</v>
      </c>
      <c r="G184" s="86"/>
      <c r="H184" s="87"/>
      <c r="I184" s="87"/>
      <c r="J184" s="87"/>
      <c r="K184" s="86">
        <f t="shared" si="47"/>
        <v>967126.14999999991</v>
      </c>
      <c r="L184" s="86"/>
      <c r="M184" s="87">
        <f>560000+406821.44+304.71</f>
        <v>967126.14999999991</v>
      </c>
      <c r="N184" s="86"/>
      <c r="O184" s="87"/>
      <c r="P184" s="87"/>
      <c r="Q184" s="63">
        <f t="shared" si="37"/>
        <v>967126.14999999991</v>
      </c>
      <c r="T184" s="14"/>
    </row>
    <row r="185" spans="1:20" s="6" customFormat="1" ht="62.4" customHeight="1">
      <c r="A185" s="52" t="s">
        <v>454</v>
      </c>
      <c r="B185" s="52" t="s">
        <v>455</v>
      </c>
      <c r="C185" s="52" t="s">
        <v>456</v>
      </c>
      <c r="D185" s="55" t="s">
        <v>457</v>
      </c>
      <c r="E185" s="83"/>
      <c r="F185" s="86">
        <f t="shared" si="46"/>
        <v>0</v>
      </c>
      <c r="G185" s="86"/>
      <c r="H185" s="87"/>
      <c r="I185" s="87"/>
      <c r="J185" s="87"/>
      <c r="K185" s="86">
        <f t="shared" si="47"/>
        <v>0</v>
      </c>
      <c r="L185" s="86">
        <f>150000-150000</f>
        <v>0</v>
      </c>
      <c r="M185" s="87"/>
      <c r="N185" s="86"/>
      <c r="O185" s="87"/>
      <c r="P185" s="87">
        <f>L185</f>
        <v>0</v>
      </c>
      <c r="Q185" s="63">
        <f t="shared" si="37"/>
        <v>0</v>
      </c>
      <c r="T185" s="14"/>
    </row>
    <row r="186" spans="1:20" s="6" customFormat="1" ht="66.599999999999994" customHeight="1">
      <c r="A186" s="56" t="s">
        <v>314</v>
      </c>
      <c r="B186" s="78">
        <v>3100000</v>
      </c>
      <c r="C186" s="56"/>
      <c r="D186" s="107" t="s">
        <v>448</v>
      </c>
      <c r="E186" s="66"/>
      <c r="F186" s="59">
        <f>F187</f>
        <v>4473800</v>
      </c>
      <c r="G186" s="59">
        <f t="shared" ref="G186:P186" si="49">G187</f>
        <v>4473800</v>
      </c>
      <c r="H186" s="59">
        <f t="shared" si="49"/>
        <v>2844600</v>
      </c>
      <c r="I186" s="59">
        <f t="shared" si="49"/>
        <v>96800</v>
      </c>
      <c r="J186" s="59">
        <f t="shared" si="49"/>
        <v>0</v>
      </c>
      <c r="K186" s="59">
        <f t="shared" si="49"/>
        <v>150845.29</v>
      </c>
      <c r="L186" s="59">
        <f t="shared" si="49"/>
        <v>146000</v>
      </c>
      <c r="M186" s="59">
        <f t="shared" si="49"/>
        <v>4845.29</v>
      </c>
      <c r="N186" s="59">
        <f t="shared" si="49"/>
        <v>0</v>
      </c>
      <c r="O186" s="59">
        <f t="shared" si="49"/>
        <v>0</v>
      </c>
      <c r="P186" s="59">
        <f t="shared" si="49"/>
        <v>146000</v>
      </c>
      <c r="Q186" s="59">
        <f>F186+K186</f>
        <v>4624645.29</v>
      </c>
      <c r="T186" s="14"/>
    </row>
    <row r="187" spans="1:20" s="6" customFormat="1" ht="58.95" customHeight="1">
      <c r="A187" s="60" t="s">
        <v>315</v>
      </c>
      <c r="B187" s="79">
        <v>3110000</v>
      </c>
      <c r="C187" s="60"/>
      <c r="D187" s="108" t="str">
        <f>D186</f>
        <v>Управління комунального майна  та земельних відносин</v>
      </c>
      <c r="E187" s="67"/>
      <c r="F187" s="63">
        <f>SUM(F188:F194)</f>
        <v>4473800</v>
      </c>
      <c r="G187" s="63">
        <f t="shared" ref="G187:P187" si="50">SUM(G188:G194)</f>
        <v>4473800</v>
      </c>
      <c r="H187" s="63">
        <f t="shared" si="50"/>
        <v>2844600</v>
      </c>
      <c r="I187" s="63">
        <f t="shared" si="50"/>
        <v>96800</v>
      </c>
      <c r="J187" s="63">
        <f t="shared" si="50"/>
        <v>0</v>
      </c>
      <c r="K187" s="63">
        <f t="shared" si="50"/>
        <v>150845.29</v>
      </c>
      <c r="L187" s="63">
        <f t="shared" si="50"/>
        <v>146000</v>
      </c>
      <c r="M187" s="63">
        <f t="shared" si="50"/>
        <v>4845.29</v>
      </c>
      <c r="N187" s="63">
        <f t="shared" si="50"/>
        <v>0</v>
      </c>
      <c r="O187" s="63">
        <f t="shared" si="50"/>
        <v>0</v>
      </c>
      <c r="P187" s="63">
        <f t="shared" si="50"/>
        <v>146000</v>
      </c>
      <c r="Q187" s="63">
        <f t="shared" ref="Q187:Q206" si="51">F187+K187</f>
        <v>4624645.29</v>
      </c>
      <c r="T187" s="14"/>
    </row>
    <row r="188" spans="1:20" s="6" customFormat="1" ht="73.95" customHeight="1">
      <c r="A188" s="52" t="s">
        <v>316</v>
      </c>
      <c r="B188" s="52" t="s">
        <v>326</v>
      </c>
      <c r="C188" s="52" t="s">
        <v>58</v>
      </c>
      <c r="D188" s="109" t="s">
        <v>476</v>
      </c>
      <c r="E188" s="83"/>
      <c r="F188" s="86">
        <f>G188</f>
        <v>3771000</v>
      </c>
      <c r="G188" s="86">
        <f>3548800+200000+15000+7200</f>
        <v>3771000</v>
      </c>
      <c r="H188" s="87">
        <f>2724600+120000</f>
        <v>2844600</v>
      </c>
      <c r="I188" s="87">
        <v>96800</v>
      </c>
      <c r="J188" s="87"/>
      <c r="K188" s="86">
        <f t="shared" ref="K188:K194" si="52">M188+P188</f>
        <v>46000</v>
      </c>
      <c r="L188" s="86">
        <f>30000+16000</f>
        <v>46000</v>
      </c>
      <c r="M188" s="87"/>
      <c r="N188" s="86"/>
      <c r="O188" s="87"/>
      <c r="P188" s="87">
        <f>L188</f>
        <v>46000</v>
      </c>
      <c r="Q188" s="63">
        <f t="shared" si="51"/>
        <v>3817000</v>
      </c>
      <c r="T188" s="14"/>
    </row>
    <row r="189" spans="1:20" s="6" customFormat="1" ht="46.95" customHeight="1">
      <c r="A189" s="52" t="s">
        <v>317</v>
      </c>
      <c r="B189" s="52" t="s">
        <v>266</v>
      </c>
      <c r="C189" s="52" t="s">
        <v>69</v>
      </c>
      <c r="D189" s="109" t="s">
        <v>135</v>
      </c>
      <c r="E189" s="83"/>
      <c r="F189" s="86">
        <f>G189</f>
        <v>170000</v>
      </c>
      <c r="G189" s="86">
        <f>40000+30000+25000+25000+20000+30000</f>
        <v>170000</v>
      </c>
      <c r="H189" s="87"/>
      <c r="I189" s="87"/>
      <c r="J189" s="87"/>
      <c r="K189" s="86">
        <f t="shared" si="52"/>
        <v>0</v>
      </c>
      <c r="L189" s="86"/>
      <c r="M189" s="87"/>
      <c r="N189" s="86"/>
      <c r="O189" s="87"/>
      <c r="P189" s="87"/>
      <c r="Q189" s="63">
        <f t="shared" si="51"/>
        <v>170000</v>
      </c>
      <c r="T189" s="14"/>
    </row>
    <row r="190" spans="1:20" s="6" customFormat="1" ht="29.4" customHeight="1">
      <c r="A190" s="52" t="s">
        <v>318</v>
      </c>
      <c r="B190" s="52" t="s">
        <v>344</v>
      </c>
      <c r="C190" s="52" t="s">
        <v>67</v>
      </c>
      <c r="D190" s="126" t="s">
        <v>112</v>
      </c>
      <c r="E190" s="83"/>
      <c r="F190" s="86">
        <f>G190</f>
        <v>450000</v>
      </c>
      <c r="G190" s="86">
        <f>1080000-600000-30000</f>
        <v>450000</v>
      </c>
      <c r="H190" s="87"/>
      <c r="I190" s="87"/>
      <c r="J190" s="87"/>
      <c r="K190" s="86">
        <f t="shared" si="52"/>
        <v>4845.29</v>
      </c>
      <c r="L190" s="86"/>
      <c r="M190" s="87">
        <v>4845.29</v>
      </c>
      <c r="N190" s="86"/>
      <c r="O190" s="87"/>
      <c r="P190" s="87"/>
      <c r="Q190" s="63">
        <f t="shared" si="51"/>
        <v>454845.29</v>
      </c>
      <c r="T190" s="14"/>
    </row>
    <row r="191" spans="1:20" s="6" customFormat="1" ht="45" customHeight="1">
      <c r="A191" s="52" t="s">
        <v>319</v>
      </c>
      <c r="B191" s="52" t="s">
        <v>415</v>
      </c>
      <c r="C191" s="52" t="s">
        <v>201</v>
      </c>
      <c r="D191" s="111" t="s">
        <v>253</v>
      </c>
      <c r="E191" s="83"/>
      <c r="F191" s="86">
        <f>G191</f>
        <v>0</v>
      </c>
      <c r="G191" s="86"/>
      <c r="H191" s="87"/>
      <c r="I191" s="87"/>
      <c r="J191" s="87"/>
      <c r="K191" s="86">
        <f t="shared" si="52"/>
        <v>20000</v>
      </c>
      <c r="L191" s="86">
        <v>20000</v>
      </c>
      <c r="M191" s="87"/>
      <c r="N191" s="86"/>
      <c r="O191" s="87"/>
      <c r="P191" s="87">
        <f>L191</f>
        <v>20000</v>
      </c>
      <c r="Q191" s="63">
        <f t="shared" si="51"/>
        <v>20000</v>
      </c>
      <c r="T191" s="14"/>
    </row>
    <row r="192" spans="1:20" s="6" customFormat="1" ht="119.4" customHeight="1">
      <c r="A192" s="52" t="s">
        <v>320</v>
      </c>
      <c r="B192" s="52" t="s">
        <v>416</v>
      </c>
      <c r="C192" s="52" t="s">
        <v>201</v>
      </c>
      <c r="D192" s="128" t="s">
        <v>244</v>
      </c>
      <c r="E192" s="83"/>
      <c r="F192" s="86">
        <f>G192</f>
        <v>0</v>
      </c>
      <c r="G192" s="86"/>
      <c r="H192" s="87"/>
      <c r="I192" s="87"/>
      <c r="J192" s="87"/>
      <c r="K192" s="86">
        <f t="shared" si="52"/>
        <v>30000</v>
      </c>
      <c r="L192" s="86">
        <v>30000</v>
      </c>
      <c r="M192" s="87"/>
      <c r="N192" s="86"/>
      <c r="O192" s="87"/>
      <c r="P192" s="87">
        <f>L192</f>
        <v>30000</v>
      </c>
      <c r="Q192" s="63">
        <f t="shared" si="51"/>
        <v>30000</v>
      </c>
      <c r="T192" s="14"/>
    </row>
    <row r="193" spans="1:20" s="6" customFormat="1" ht="60" customHeight="1">
      <c r="A193" s="52" t="s">
        <v>439</v>
      </c>
      <c r="B193" s="52" t="s">
        <v>423</v>
      </c>
      <c r="C193" s="52" t="s">
        <v>424</v>
      </c>
      <c r="D193" s="55" t="s">
        <v>425</v>
      </c>
      <c r="E193" s="83"/>
      <c r="F193" s="86">
        <f>G193+J193</f>
        <v>82800</v>
      </c>
      <c r="G193" s="86">
        <f>90000-7200</f>
        <v>82800</v>
      </c>
      <c r="H193" s="87"/>
      <c r="I193" s="87"/>
      <c r="J193" s="87"/>
      <c r="K193" s="86">
        <f t="shared" si="52"/>
        <v>50000</v>
      </c>
      <c r="L193" s="86">
        <v>50000</v>
      </c>
      <c r="M193" s="86"/>
      <c r="N193" s="86"/>
      <c r="O193" s="87"/>
      <c r="P193" s="87">
        <f>L193</f>
        <v>50000</v>
      </c>
      <c r="Q193" s="63">
        <f>F193+K193</f>
        <v>132800</v>
      </c>
      <c r="T193" s="14"/>
    </row>
    <row r="194" spans="1:20" s="6" customFormat="1" ht="81.75" hidden="1" customHeight="1">
      <c r="A194" s="52" t="s">
        <v>320</v>
      </c>
      <c r="B194" s="52" t="s">
        <v>416</v>
      </c>
      <c r="C194" s="52" t="s">
        <v>201</v>
      </c>
      <c r="D194" s="28" t="s">
        <v>244</v>
      </c>
      <c r="E194" s="5"/>
      <c r="F194" s="29">
        <f>G194</f>
        <v>0</v>
      </c>
      <c r="G194" s="86"/>
      <c r="H194" s="87"/>
      <c r="I194" s="87"/>
      <c r="J194" s="87"/>
      <c r="K194" s="86">
        <f t="shared" si="52"/>
        <v>0</v>
      </c>
      <c r="L194" s="86"/>
      <c r="M194" s="87"/>
      <c r="N194" s="86"/>
      <c r="O194" s="87"/>
      <c r="P194" s="87">
        <f>L194</f>
        <v>0</v>
      </c>
      <c r="Q194" s="63">
        <f t="shared" si="51"/>
        <v>0</v>
      </c>
      <c r="T194" s="14"/>
    </row>
    <row r="195" spans="1:20" s="18" customFormat="1" ht="69" customHeight="1">
      <c r="A195" s="56" t="s">
        <v>194</v>
      </c>
      <c r="B195" s="80">
        <v>3700000</v>
      </c>
      <c r="C195" s="66"/>
      <c r="D195" s="84" t="s">
        <v>5</v>
      </c>
      <c r="E195" s="66" t="s">
        <v>5</v>
      </c>
      <c r="F195" s="102">
        <f>F196</f>
        <v>12435606.41</v>
      </c>
      <c r="G195" s="102">
        <f t="shared" ref="G195:P195" si="53">G196</f>
        <v>8014944</v>
      </c>
      <c r="H195" s="59">
        <f t="shared" si="53"/>
        <v>5435700</v>
      </c>
      <c r="I195" s="59">
        <f t="shared" si="53"/>
        <v>81000</v>
      </c>
      <c r="J195" s="59">
        <f t="shared" si="53"/>
        <v>590449.93999999994</v>
      </c>
      <c r="K195" s="59">
        <f t="shared" si="53"/>
        <v>25000</v>
      </c>
      <c r="L195" s="59">
        <f t="shared" si="53"/>
        <v>25000</v>
      </c>
      <c r="M195" s="59">
        <f t="shared" si="53"/>
        <v>0</v>
      </c>
      <c r="N195" s="59">
        <f t="shared" si="53"/>
        <v>0</v>
      </c>
      <c r="O195" s="59">
        <f t="shared" si="53"/>
        <v>0</v>
      </c>
      <c r="P195" s="59">
        <f t="shared" si="53"/>
        <v>25000</v>
      </c>
      <c r="Q195" s="59">
        <f t="shared" si="51"/>
        <v>12460606.41</v>
      </c>
      <c r="R195" s="9"/>
      <c r="T195" s="16"/>
    </row>
    <row r="196" spans="1:20" s="18" customFormat="1" ht="60" customHeight="1">
      <c r="A196" s="60" t="s">
        <v>195</v>
      </c>
      <c r="B196" s="81">
        <v>3710000</v>
      </c>
      <c r="C196" s="67"/>
      <c r="D196" s="85" t="str">
        <f>D195</f>
        <v>Фінансове управління міської ради</v>
      </c>
      <c r="E196" s="67"/>
      <c r="F196" s="99">
        <f>SUM(F197:F203)+F204+F205</f>
        <v>12435606.41</v>
      </c>
      <c r="G196" s="99">
        <f>SUM(G197:G203)+G204+G205</f>
        <v>8014944</v>
      </c>
      <c r="H196" s="99">
        <f t="shared" ref="H196:P196" si="54">SUM(H197:H203)+H204+H205</f>
        <v>5435700</v>
      </c>
      <c r="I196" s="99">
        <f t="shared" si="54"/>
        <v>81000</v>
      </c>
      <c r="J196" s="99">
        <f t="shared" si="54"/>
        <v>590449.93999999994</v>
      </c>
      <c r="K196" s="99">
        <f t="shared" si="54"/>
        <v>25000</v>
      </c>
      <c r="L196" s="99">
        <f t="shared" si="54"/>
        <v>25000</v>
      </c>
      <c r="M196" s="99">
        <f t="shared" si="54"/>
        <v>0</v>
      </c>
      <c r="N196" s="99">
        <f t="shared" si="54"/>
        <v>0</v>
      </c>
      <c r="O196" s="99">
        <f t="shared" si="54"/>
        <v>0</v>
      </c>
      <c r="P196" s="99">
        <f t="shared" si="54"/>
        <v>25000</v>
      </c>
      <c r="Q196" s="63">
        <f t="shared" si="51"/>
        <v>12460606.41</v>
      </c>
      <c r="R196" s="9"/>
      <c r="T196" s="16"/>
    </row>
    <row r="197" spans="1:20" s="6" customFormat="1" ht="74.400000000000006" customHeight="1">
      <c r="A197" s="52" t="s">
        <v>196</v>
      </c>
      <c r="B197" s="52" t="s">
        <v>326</v>
      </c>
      <c r="C197" s="52" t="s">
        <v>58</v>
      </c>
      <c r="D197" s="109" t="s">
        <v>476</v>
      </c>
      <c r="E197" s="83" t="s">
        <v>2</v>
      </c>
      <c r="F197" s="86">
        <f>G197+J197</f>
        <v>6961000</v>
      </c>
      <c r="G197" s="86">
        <f>5463000+3000+450000-50000+20000+1050000+25000</f>
        <v>6961000</v>
      </c>
      <c r="H197" s="87">
        <f>4155700+370000+20000+890000</f>
        <v>5435700</v>
      </c>
      <c r="I197" s="87">
        <v>81000</v>
      </c>
      <c r="J197" s="87"/>
      <c r="K197" s="86">
        <f t="shared" ref="K197:K205" si="55">M197+P197</f>
        <v>0</v>
      </c>
      <c r="L197" s="86">
        <f>20000-20000</f>
        <v>0</v>
      </c>
      <c r="M197" s="87"/>
      <c r="N197" s="86"/>
      <c r="O197" s="87"/>
      <c r="P197" s="87">
        <f>L197</f>
        <v>0</v>
      </c>
      <c r="Q197" s="63">
        <f t="shared" si="51"/>
        <v>6961000</v>
      </c>
      <c r="T197" s="14"/>
    </row>
    <row r="198" spans="1:20" s="6" customFormat="1" ht="52.95" customHeight="1">
      <c r="A198" s="52" t="s">
        <v>241</v>
      </c>
      <c r="B198" s="52" t="s">
        <v>266</v>
      </c>
      <c r="C198" s="52" t="s">
        <v>69</v>
      </c>
      <c r="D198" s="109" t="s">
        <v>135</v>
      </c>
      <c r="E198" s="83"/>
      <c r="F198" s="86">
        <f>G198+J198</f>
        <v>2500</v>
      </c>
      <c r="G198" s="86">
        <f>500+2000</f>
        <v>2500</v>
      </c>
      <c r="H198" s="87"/>
      <c r="I198" s="87"/>
      <c r="J198" s="87"/>
      <c r="K198" s="86">
        <f t="shared" si="55"/>
        <v>0</v>
      </c>
      <c r="L198" s="86"/>
      <c r="M198" s="87"/>
      <c r="N198" s="86"/>
      <c r="O198" s="87"/>
      <c r="P198" s="87"/>
      <c r="Q198" s="63">
        <f t="shared" si="51"/>
        <v>2500</v>
      </c>
      <c r="T198" s="14"/>
    </row>
    <row r="199" spans="1:20" s="6" customFormat="1" ht="52.95" customHeight="1">
      <c r="A199" s="52" t="s">
        <v>440</v>
      </c>
      <c r="B199" s="52" t="s">
        <v>423</v>
      </c>
      <c r="C199" s="52" t="s">
        <v>424</v>
      </c>
      <c r="D199" s="55" t="s">
        <v>425</v>
      </c>
      <c r="E199" s="115"/>
      <c r="F199" s="86">
        <f>G199+J199</f>
        <v>100000</v>
      </c>
      <c r="G199" s="89">
        <f>45000+50000+5000</f>
        <v>100000</v>
      </c>
      <c r="H199" s="90"/>
      <c r="I199" s="90"/>
      <c r="J199" s="90"/>
      <c r="K199" s="86">
        <f t="shared" si="55"/>
        <v>25000</v>
      </c>
      <c r="L199" s="89">
        <f>30000-5000</f>
        <v>25000</v>
      </c>
      <c r="M199" s="89"/>
      <c r="N199" s="89"/>
      <c r="O199" s="90"/>
      <c r="P199" s="90">
        <f>L199</f>
        <v>25000</v>
      </c>
      <c r="Q199" s="63">
        <f>F199+K199</f>
        <v>125000</v>
      </c>
      <c r="T199" s="14"/>
    </row>
    <row r="200" spans="1:20" s="6" customFormat="1" ht="52.95" customHeight="1">
      <c r="A200" s="52" t="s">
        <v>309</v>
      </c>
      <c r="B200" s="52" t="s">
        <v>417</v>
      </c>
      <c r="C200" s="52" t="s">
        <v>266</v>
      </c>
      <c r="D200" s="109" t="s">
        <v>310</v>
      </c>
      <c r="E200" s="83"/>
      <c r="F200" s="86">
        <f>G200+J200</f>
        <v>0</v>
      </c>
      <c r="G200" s="86"/>
      <c r="H200" s="87"/>
      <c r="I200" s="87"/>
      <c r="J200" s="87"/>
      <c r="K200" s="86"/>
      <c r="L200" s="86"/>
      <c r="M200" s="87"/>
      <c r="N200" s="86"/>
      <c r="O200" s="87"/>
      <c r="P200" s="87"/>
      <c r="Q200" s="63">
        <f t="shared" si="51"/>
        <v>0</v>
      </c>
      <c r="T200" s="14"/>
    </row>
    <row r="201" spans="1:20" s="6" customFormat="1" ht="52.95" customHeight="1">
      <c r="A201" s="52" t="s">
        <v>292</v>
      </c>
      <c r="B201" s="52" t="s">
        <v>418</v>
      </c>
      <c r="C201" s="52" t="s">
        <v>293</v>
      </c>
      <c r="D201" s="109" t="s">
        <v>294</v>
      </c>
      <c r="E201" s="83"/>
      <c r="F201" s="86">
        <f>G201+J201</f>
        <v>248248</v>
      </c>
      <c r="G201" s="86">
        <f>256845-8597</f>
        <v>248248</v>
      </c>
      <c r="H201" s="87"/>
      <c r="I201" s="87"/>
      <c r="J201" s="87"/>
      <c r="K201" s="86">
        <f t="shared" si="55"/>
        <v>0</v>
      </c>
      <c r="L201" s="86"/>
      <c r="M201" s="87"/>
      <c r="N201" s="86"/>
      <c r="O201" s="87"/>
      <c r="P201" s="87"/>
      <c r="Q201" s="63">
        <f t="shared" si="51"/>
        <v>248248</v>
      </c>
      <c r="T201" s="14"/>
    </row>
    <row r="202" spans="1:20" s="6" customFormat="1" ht="46.95" customHeight="1">
      <c r="A202" s="52" t="s">
        <v>535</v>
      </c>
      <c r="B202" s="52" t="s">
        <v>548</v>
      </c>
      <c r="C202" s="52" t="s">
        <v>69</v>
      </c>
      <c r="D202" s="109" t="s">
        <v>549</v>
      </c>
      <c r="E202" s="83"/>
      <c r="F202" s="86">
        <f>4198404.24-36191.77-37000-49000-246000</f>
        <v>3830212.47</v>
      </c>
      <c r="G202" s="86"/>
      <c r="H202" s="87"/>
      <c r="I202" s="87"/>
      <c r="J202" s="87"/>
      <c r="K202" s="86">
        <f t="shared" si="55"/>
        <v>0</v>
      </c>
      <c r="L202" s="86"/>
      <c r="M202" s="87"/>
      <c r="N202" s="86"/>
      <c r="O202" s="87"/>
      <c r="P202" s="87"/>
      <c r="Q202" s="63">
        <f>F202+K202</f>
        <v>3830212.47</v>
      </c>
      <c r="T202" s="14"/>
    </row>
    <row r="203" spans="1:20" s="6" customFormat="1" ht="48.6" hidden="1" customHeight="1">
      <c r="A203" s="52" t="s">
        <v>270</v>
      </c>
      <c r="B203" s="52" t="s">
        <v>419</v>
      </c>
      <c r="C203" s="52" t="s">
        <v>266</v>
      </c>
      <c r="D203" s="26" t="s">
        <v>271</v>
      </c>
      <c r="E203" s="5"/>
      <c r="F203" s="29">
        <f>G203+J203</f>
        <v>0</v>
      </c>
      <c r="G203" s="29"/>
      <c r="H203" s="34"/>
      <c r="I203" s="34"/>
      <c r="J203" s="51"/>
      <c r="K203" s="86">
        <f t="shared" si="55"/>
        <v>0</v>
      </c>
      <c r="L203" s="29"/>
      <c r="M203" s="34"/>
      <c r="N203" s="29"/>
      <c r="O203" s="34"/>
      <c r="P203" s="34"/>
      <c r="Q203" s="63">
        <f t="shared" ref="Q203:Q205" si="56">F203+K203</f>
        <v>0</v>
      </c>
      <c r="T203" s="14"/>
    </row>
    <row r="204" spans="1:20" s="6" customFormat="1" ht="48.6" customHeight="1">
      <c r="A204" s="52" t="s">
        <v>270</v>
      </c>
      <c r="B204" s="52" t="s">
        <v>419</v>
      </c>
      <c r="C204" s="52" t="s">
        <v>266</v>
      </c>
      <c r="D204" s="109" t="s">
        <v>271</v>
      </c>
      <c r="E204" s="5"/>
      <c r="F204" s="86">
        <f>G204+J204</f>
        <v>1193645.94</v>
      </c>
      <c r="G204" s="86">
        <f>50000+553196</f>
        <v>603196</v>
      </c>
      <c r="H204" s="87"/>
      <c r="I204" s="87"/>
      <c r="J204" s="87">
        <f>156296.94+434153</f>
        <v>590449.93999999994</v>
      </c>
      <c r="K204" s="86">
        <f t="shared" si="55"/>
        <v>0</v>
      </c>
      <c r="L204" s="86"/>
      <c r="M204" s="87"/>
      <c r="N204" s="86"/>
      <c r="O204" s="87"/>
      <c r="P204" s="87"/>
      <c r="Q204" s="63">
        <f t="shared" si="56"/>
        <v>1193645.94</v>
      </c>
      <c r="T204" s="14"/>
    </row>
    <row r="205" spans="1:20" s="6" customFormat="1" ht="82.8" customHeight="1">
      <c r="A205" s="52" t="s">
        <v>557</v>
      </c>
      <c r="B205" s="52" t="s">
        <v>558</v>
      </c>
      <c r="C205" s="52" t="s">
        <v>266</v>
      </c>
      <c r="D205" s="109" t="s">
        <v>559</v>
      </c>
      <c r="E205" s="5"/>
      <c r="F205" s="86">
        <f>G205+J205</f>
        <v>100000</v>
      </c>
      <c r="G205" s="86">
        <f>50000+50000</f>
        <v>100000</v>
      </c>
      <c r="H205" s="87"/>
      <c r="I205" s="87"/>
      <c r="J205" s="87"/>
      <c r="K205" s="86">
        <f t="shared" si="55"/>
        <v>0</v>
      </c>
      <c r="L205" s="86"/>
      <c r="M205" s="87"/>
      <c r="N205" s="86"/>
      <c r="O205" s="87"/>
      <c r="P205" s="87"/>
      <c r="Q205" s="63">
        <f t="shared" si="56"/>
        <v>100000</v>
      </c>
      <c r="T205" s="14"/>
    </row>
    <row r="206" spans="1:20" s="9" customFormat="1" ht="68.400000000000006" customHeight="1">
      <c r="A206" s="82"/>
      <c r="B206" s="82"/>
      <c r="C206" s="82"/>
      <c r="D206" s="98" t="s">
        <v>197</v>
      </c>
      <c r="E206" s="82" t="s">
        <v>12</v>
      </c>
      <c r="F206" s="63">
        <f>F11+F49+F123+F136+F147+F195+F84+F186</f>
        <v>529408180.89999998</v>
      </c>
      <c r="G206" s="63">
        <f>G11+G49+G123+G136+G147+G195+G84+G186</f>
        <v>503652134.48999995</v>
      </c>
      <c r="H206" s="63">
        <f>H11+H49+H123+H136+H147+H195+H84+H186</f>
        <v>289517369.6099999</v>
      </c>
      <c r="I206" s="63">
        <f>I11+I49+I123+I136+I147+I195+I84+I186</f>
        <v>34162953</v>
      </c>
      <c r="J206" s="63">
        <f>J11+J49+J123+J136+J147+J195+J84</f>
        <v>21925833.940000001</v>
      </c>
      <c r="K206" s="63">
        <f>M206+P206</f>
        <v>103655278.87</v>
      </c>
      <c r="L206" s="63">
        <f>L11+L49+L123+L136+L147+L195+L84+L186</f>
        <v>92524063.439999998</v>
      </c>
      <c r="M206" s="63">
        <f>M11+M49+M123+M136+M147+M195+M84+M186</f>
        <v>11061215.43</v>
      </c>
      <c r="N206" s="63">
        <f>N11+N49+N123+N136+N147+N195+N84</f>
        <v>529890</v>
      </c>
      <c r="O206" s="63">
        <f>O11+O49+O123+O136+O147+O195+O84</f>
        <v>335000</v>
      </c>
      <c r="P206" s="63">
        <f>P11+P49+P123+P136+P147+P195+P84+P186</f>
        <v>92594063.439999998</v>
      </c>
      <c r="Q206" s="63">
        <f t="shared" si="51"/>
        <v>633063459.76999998</v>
      </c>
      <c r="R206" s="47"/>
      <c r="S206" s="48"/>
      <c r="T206" s="10"/>
    </row>
    <row r="207" spans="1:20" s="9" customFormat="1" ht="68.400000000000006" customHeight="1">
      <c r="A207" s="43"/>
      <c r="B207" s="43"/>
      <c r="C207" s="43"/>
      <c r="D207" s="44"/>
      <c r="E207" s="43"/>
      <c r="F207" s="45"/>
      <c r="G207" s="45"/>
      <c r="H207" s="45"/>
      <c r="I207" s="45"/>
      <c r="J207" s="46"/>
      <c r="K207" s="45"/>
      <c r="L207" s="45"/>
      <c r="M207" s="45"/>
      <c r="N207" s="46"/>
      <c r="O207" s="46"/>
      <c r="P207" s="45"/>
      <c r="Q207" s="45"/>
      <c r="R207" s="47"/>
      <c r="S207" s="48"/>
      <c r="T207" s="10"/>
    </row>
    <row r="208" spans="1:20" s="9" customFormat="1" ht="68.400000000000006" customHeight="1">
      <c r="A208" s="43"/>
      <c r="B208" s="43"/>
      <c r="C208" s="43"/>
      <c r="D208" s="44"/>
      <c r="E208" s="43"/>
      <c r="F208" s="45"/>
      <c r="G208" s="45"/>
      <c r="H208" s="45"/>
      <c r="I208" s="45"/>
      <c r="J208" s="46"/>
      <c r="K208" s="45"/>
      <c r="L208" s="45"/>
      <c r="M208" s="45"/>
      <c r="N208" s="46"/>
      <c r="O208" s="46"/>
      <c r="P208" s="45"/>
      <c r="Q208" s="45"/>
      <c r="R208" s="47"/>
      <c r="S208" s="48"/>
      <c r="T208" s="10"/>
    </row>
    <row r="209" spans="1:20" s="9" customFormat="1" ht="27" customHeight="1">
      <c r="A209" s="43"/>
      <c r="B209" s="43"/>
      <c r="C209" s="43"/>
      <c r="D209" s="44"/>
      <c r="E209" s="43"/>
      <c r="F209" s="45"/>
      <c r="G209" s="45"/>
      <c r="H209" s="45"/>
      <c r="I209" s="45"/>
      <c r="J209" s="46"/>
      <c r="K209" s="45"/>
      <c r="L209" s="45"/>
      <c r="M209" s="45"/>
      <c r="N209" s="46"/>
      <c r="O209" s="46"/>
      <c r="P209" s="45"/>
      <c r="Q209" s="45"/>
      <c r="R209" s="47"/>
      <c r="S209" s="48"/>
      <c r="T209" s="10"/>
    </row>
    <row r="210" spans="1:20" s="9" customFormat="1" ht="25.2" customHeight="1">
      <c r="A210" s="43"/>
      <c r="B210" s="43"/>
      <c r="C210" s="43"/>
      <c r="D210" s="44"/>
      <c r="E210" s="43"/>
      <c r="F210" s="45"/>
      <c r="G210" s="45"/>
      <c r="H210" s="45"/>
      <c r="I210" s="45"/>
      <c r="J210" s="46"/>
      <c r="K210" s="45"/>
      <c r="L210" s="45"/>
      <c r="M210" s="45"/>
      <c r="N210" s="46"/>
      <c r="O210" s="46"/>
      <c r="P210" s="45"/>
      <c r="Q210" s="45"/>
      <c r="R210" s="47"/>
      <c r="S210" s="48"/>
      <c r="T210" s="10"/>
    </row>
    <row r="211" spans="1:20" s="9" customFormat="1" ht="34.200000000000003" customHeight="1">
      <c r="A211" s="43"/>
      <c r="B211" s="43"/>
      <c r="C211" s="43"/>
      <c r="D211" s="131" t="s">
        <v>467</v>
      </c>
      <c r="E211" s="132"/>
      <c r="F211" s="133"/>
      <c r="G211" s="133"/>
      <c r="H211" s="129"/>
      <c r="I211" s="129"/>
      <c r="J211" s="130"/>
      <c r="K211" s="129"/>
      <c r="L211" s="129"/>
      <c r="M211" s="141" t="s">
        <v>551</v>
      </c>
      <c r="N211" s="141"/>
      <c r="O211" s="141"/>
      <c r="P211" s="45"/>
      <c r="Q211" s="45"/>
      <c r="R211" s="47"/>
      <c r="S211" s="48"/>
      <c r="T211" s="10"/>
    </row>
    <row r="212" spans="1:20" s="9" customFormat="1" ht="57" customHeight="1">
      <c r="A212" s="135"/>
      <c r="B212" s="135"/>
      <c r="C212" s="135"/>
      <c r="D212" s="135"/>
      <c r="E212" s="135"/>
      <c r="F212" s="135"/>
      <c r="G212" s="135"/>
      <c r="H212" s="135"/>
      <c r="I212" s="135"/>
      <c r="J212" s="135"/>
      <c r="K212" s="135"/>
      <c r="L212" s="135"/>
      <c r="M212" s="135"/>
      <c r="N212" s="135"/>
      <c r="O212" s="135"/>
      <c r="P212" s="135"/>
      <c r="Q212" s="135"/>
      <c r="T212" s="10"/>
    </row>
    <row r="213" spans="1:20" s="21" customFormat="1" ht="21.75" customHeight="1">
      <c r="A213" s="135"/>
      <c r="B213" s="135"/>
      <c r="C213" s="135"/>
      <c r="D213" s="135"/>
      <c r="E213" s="135"/>
      <c r="F213" s="135"/>
      <c r="G213" s="135"/>
      <c r="H213" s="135"/>
      <c r="I213" s="135"/>
      <c r="J213" s="135"/>
      <c r="K213" s="135"/>
      <c r="L213" s="135"/>
      <c r="M213" s="135"/>
      <c r="N213" s="135"/>
      <c r="O213" s="135"/>
      <c r="P213" s="135"/>
      <c r="Q213" s="135"/>
      <c r="T213" s="22"/>
    </row>
    <row r="216" spans="1:20" ht="24.75" customHeight="1">
      <c r="Q216" s="50"/>
    </row>
  </sheetData>
  <mergeCells count="31">
    <mergeCell ref="M211:O211"/>
    <mergeCell ref="A4:C4"/>
    <mergeCell ref="N4:Q4"/>
    <mergeCell ref="N1:Q1"/>
    <mergeCell ref="A2:M2"/>
    <mergeCell ref="N2:Q2"/>
    <mergeCell ref="A3:M3"/>
    <mergeCell ref="N3:Q3"/>
    <mergeCell ref="M7:M9"/>
    <mergeCell ref="A5:C5"/>
    <mergeCell ref="A6:A9"/>
    <mergeCell ref="B6:B9"/>
    <mergeCell ref="C6:C9"/>
    <mergeCell ref="D6:D9"/>
    <mergeCell ref="F6:J6"/>
    <mergeCell ref="A212:Q213"/>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5" manualBreakCount="5">
    <brk id="35" max="16" man="1"/>
    <brk id="80" max="16" man="1"/>
    <brk id="121" max="16" man="1"/>
    <brk id="146" min="2" max="16" man="1"/>
    <brk id="18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2021-09-14T12:12:45Z</cp:lastPrinted>
  <dcterms:created xsi:type="dcterms:W3CDTF">2002-10-09T16:25:59Z</dcterms:created>
  <dcterms:modified xsi:type="dcterms:W3CDTF">2021-09-17T06:18:28Z</dcterms:modified>
</cp:coreProperties>
</file>