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L164" i="5"/>
  <c r="G54"/>
  <c r="G30"/>
  <c r="L13"/>
  <c r="G159"/>
  <c r="L154"/>
  <c r="I66"/>
  <c r="H66"/>
  <c r="I63"/>
  <c r="H63"/>
  <c r="I62"/>
  <c r="H62"/>
  <c r="I54"/>
  <c r="H54"/>
  <c r="I52"/>
  <c r="H52"/>
  <c r="J160"/>
  <c r="G172"/>
  <c r="L172"/>
  <c r="L141" l="1"/>
  <c r="G141"/>
  <c r="H55"/>
  <c r="H56"/>
  <c r="J159" l="1"/>
  <c r="G177"/>
  <c r="G111"/>
  <c r="G118"/>
  <c r="H116"/>
  <c r="G116"/>
  <c r="G117"/>
  <c r="L185"/>
  <c r="G185"/>
  <c r="H141"/>
  <c r="G14"/>
  <c r="G161" l="1"/>
  <c r="G187"/>
  <c r="G34"/>
  <c r="G36"/>
  <c r="G170"/>
  <c r="J174"/>
  <c r="G202"/>
  <c r="J158"/>
  <c r="G46"/>
  <c r="G125"/>
  <c r="G93"/>
  <c r="G42"/>
  <c r="G29"/>
  <c r="G140"/>
  <c r="H13"/>
  <c r="G13"/>
  <c r="H194"/>
  <c r="G194"/>
  <c r="H50"/>
  <c r="G50"/>
  <c r="H139"/>
  <c r="G139"/>
  <c r="H111"/>
  <c r="H124"/>
  <c r="G124"/>
  <c r="H126"/>
  <c r="G126"/>
  <c r="H125"/>
  <c r="G63"/>
  <c r="H70"/>
  <c r="G70"/>
  <c r="G66"/>
  <c r="G62"/>
  <c r="G52"/>
  <c r="I126"/>
  <c r="L143"/>
  <c r="G132"/>
  <c r="G129"/>
  <c r="G123" l="1"/>
  <c r="I122"/>
  <c r="G113"/>
  <c r="L79"/>
  <c r="G79"/>
  <c r="L54"/>
  <c r="P46"/>
  <c r="K46" s="1"/>
  <c r="F46"/>
  <c r="J38"/>
  <c r="J36"/>
  <c r="L34"/>
  <c r="P33"/>
  <c r="K33" s="1"/>
  <c r="Q33" s="1"/>
  <c r="F33"/>
  <c r="G16"/>
  <c r="G15"/>
  <c r="I159"/>
  <c r="L15"/>
  <c r="J176"/>
  <c r="G179"/>
  <c r="G180"/>
  <c r="L74"/>
  <c r="G74"/>
  <c r="H74"/>
  <c r="G67"/>
  <c r="H67"/>
  <c r="K180"/>
  <c r="F180"/>
  <c r="Q180" s="1"/>
  <c r="L41"/>
  <c r="G41"/>
  <c r="G43"/>
  <c r="F199"/>
  <c r="L177"/>
  <c r="G56"/>
  <c r="Q44"/>
  <c r="Q45"/>
  <c r="K44"/>
  <c r="K45"/>
  <c r="F44"/>
  <c r="F45"/>
  <c r="L159"/>
  <c r="L175"/>
  <c r="P143"/>
  <c r="K143" s="1"/>
  <c r="Q143" s="1"/>
  <c r="Q142"/>
  <c r="K142"/>
  <c r="F142"/>
  <c r="F143"/>
  <c r="Q46" l="1"/>
  <c r="G146"/>
  <c r="G12"/>
  <c r="G147"/>
  <c r="G92"/>
  <c r="I139"/>
  <c r="L36" l="1"/>
  <c r="G174"/>
  <c r="I141"/>
  <c r="L118"/>
  <c r="M181"/>
  <c r="G59"/>
  <c r="G57" s="1"/>
  <c r="H57"/>
  <c r="I57"/>
  <c r="J57"/>
  <c r="L65"/>
  <c r="M65"/>
  <c r="N65"/>
  <c r="O65"/>
  <c r="G65"/>
  <c r="H65"/>
  <c r="I65"/>
  <c r="J65"/>
  <c r="H83"/>
  <c r="I83"/>
  <c r="G47"/>
  <c r="P47"/>
  <c r="L16"/>
  <c r="G28"/>
  <c r="F27"/>
  <c r="Q27" s="1"/>
  <c r="H84"/>
  <c r="G84"/>
  <c r="G17"/>
  <c r="H12"/>
  <c r="I12"/>
  <c r="J12"/>
  <c r="M12"/>
  <c r="N12"/>
  <c r="O12"/>
  <c r="P63"/>
  <c r="L194" l="1"/>
  <c r="L111"/>
  <c r="P62"/>
  <c r="L57"/>
  <c r="L53"/>
  <c r="M53"/>
  <c r="N53"/>
  <c r="O53"/>
  <c r="L52"/>
  <c r="L12"/>
  <c r="G186"/>
  <c r="G149"/>
  <c r="G148"/>
  <c r="G85"/>
  <c r="G83" s="1"/>
  <c r="G64"/>
  <c r="G53"/>
  <c r="G49" s="1"/>
  <c r="G51"/>
  <c r="G55"/>
  <c r="H53"/>
  <c r="I53"/>
  <c r="J53"/>
  <c r="H82"/>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L203"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<sst xmlns="http://schemas.openxmlformats.org/spreadsheetml/2006/main" count="803" uniqueCount="552">
  <si>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</si>
  <si>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</si>
  <si>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</si>
  <si>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</si>
  <si>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</si>
  <si>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</si>
  <si>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</si>
  <si>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</si>
  <si>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</si>
  <si>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</si>
  <si>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</si>
  <si>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</si>
  <si>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</si>
  <si>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</si>
  <si>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</si>
  <si>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</si>
  <si>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</si>
  <si>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</si>
  <si>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</si>
  <si>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</si>
  <si>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</si>
  <si>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</si>
  <si>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</si>
  <si>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</si>
  <si>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</si>
  <si>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</si>
  <si>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</si>
  <si>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</si>
  <si>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</si>
  <si>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</si>
  <si>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</si>
  <si>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</si>
  <si>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</si>
  <si>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</si>
  <si>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</si>
  <si>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</si>
  <si>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</si>
  <si>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</si>
  <si>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</si>
  <si>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</si>
  <si>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</si>
  <si>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</si>
  <si>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</si>
  <si>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</si>
  <si>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</si>
  <si>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</si>
  <si>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</si>
  <si>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</si>
  <si>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</si>
  <si>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</si>
  <si>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</si>
  <si>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</si>
  <si>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</si>
  <si>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</si>
  <si>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</si>
  <si>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</si>
  <si>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</si>
  <si>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</si>
  <si>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</si>
  <si>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</si>
  <si>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</si>
  <si>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</si>
  <si>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</si>
  <si>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</si>
  <si>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</si>
  <si>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</si>
  <si>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</si>
  <si>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</si>
  <si>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</si>
  <si>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</si>
  <si>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</si>
  <si>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</si>
  <si>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</si>
  <si>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</si>
  <si>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</si>
  <si>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</si>
  <si>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</si>
  <si>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</si>
  <si>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</si>
  <si>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</si>
  <si>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</si>
  <si>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</si>
  <si>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</si>
  <si>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</si>
  <si>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</si>
  <si>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</si>
  <si>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</si>
  <si>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</si>
  <si>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</si>
  <si>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</si>
  <si>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</si>
  <si>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</si>
  <si>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</si>
  <si>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</si>
  <si>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</si>
  <si>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</si>
  <si>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</si>
  <si>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</si>
  <si>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</si>
  <si>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</si>
  <si>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</si>
  <si>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</si>
  <si>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</si>
  <si>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</si>
  <si>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</si>
  <si>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</si>
  <si>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</si>
  <si>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</si>
  <si>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</si>
  <si>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</si>
  <si>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</si>
  <si>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</si>
  <si>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</si>
  <si>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</si>
  <si>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</si>
  <si>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</si>
  <si>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</si>
  <si>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</si>
  <si>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</si>
  <si>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</si>
  <si>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</si>
  <si>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</si>
  <si>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</si>
  <si>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</si>
  <si>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</si>
  <si>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</si>
  <si>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</si>
  <si>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</si>
  <si>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</si>
  <si>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</si>
  <si>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</si>
  <si>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</si>
  <si>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</si>
  <si>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</si>
  <si>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</si>
  <si>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</si>
  <si>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</si>
  <si>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</si>
  <si>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</si>
  <si>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</si>
  <si>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</si>
  <si>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</si>
  <si>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</si>
  <si>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</si>
  <si>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</si>
  <si>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</si>
  <si>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</si>
  <si>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</si>
  <si>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</si>
  <si>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</si>
  <si>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</si>
  <si>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</si>
  <si>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</si>
  <si>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</si>
  <si>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</si>
  <si>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</si>
  <si>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</si>
  <si>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</si>
  <si>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</si>
  <si>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</si>
  <si>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</si>
  <si>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</si>
  <si>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</si>
  <si>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</si>
  <si>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</si>
  <si>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</si>
  <si>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</si>
  <si>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</si>
  <si>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</si>
  <si>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</si>
  <si>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</si>
  <si>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</si>
  <si>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</si>
  <si>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</si>
  <si>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</si>
  <si>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</si>
  <si>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</si>
  <si>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</si>
  <si>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</si>
  <si>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</si>
  <si>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</si>
  <si>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</si>
  <si>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</si>
  <si>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</si>
  <si>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</si>
  <si>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</si>
  <si>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</si>
  <si>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</si>
  <si>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</si>
  <si>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</si>
  <si>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</si>
  <si>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</si>
  <si>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</si>
  <si>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</si>
  <si>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</si>
  <si>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</si>
  <si>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</si>
  <si>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</si>
  <si>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</si>
  <si>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</si>
  <si>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</si>
  <si>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</si>
  <si>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</si>
  <si>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</si>
  <si>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</si>
  <si>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</si>
  <si>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</si>
  <si>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</si>
  <si>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</si>
  <si>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</si>
  <si>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</si>
  <si>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</si>
  <si>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</si>
  <si>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</si>
  <si>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</si>
  <si>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</si>
  <si>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</si>
  <si>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</si>
  <si>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</si>
  <si>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</si>
  <si>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</si>
  <si>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</si>
  <si>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</si>
  <si>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</si>
  <si>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</si>
  <si>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</si>
  <si>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</si>
  <si>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</si>
  <si>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</si>
  <si>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</si>
  <si>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</si>
  <si>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</si>
  <si>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</si>
  <si>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</si>
  <si>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</si>
  <si>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</si>
  <si>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</si>
  <si>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</si>
  <si>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</si>
  <si>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</si>
  <si>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</si>
  <si>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</si>
  <si>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</si>
  <si>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</si>
  <si>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</si>
  <si>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</si>
  <si>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</si>
  <si>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</si>
  <si>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</si>
  <si>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</si>
  <si>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</si>
  <si>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</si>
  <si>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</si>
  <si>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</si>
  <si>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</si>
  <si>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</si>
  <si>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</si>
  <si>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</si>
  <si>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</si>
  <si>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</si>
  <si>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</si>
  <si>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</si>
  <si>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</si>
  <si>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</si>
  <si>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</si>
  <si>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</si>
  <si>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</si>
  <si>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</si>
  <si>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</si>
  <si>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</si>
  <si>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</si>
  <si>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</si>
  <si>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</si>
  <si>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</si>
  <si>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</si>
  <si>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</si>
  <si>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</si>
  <si>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</si>
  <si>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</si>
  <si>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</si>
  <si>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</si>
  <si>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</si>
  <si>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</si>
  <si>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</si>
  <si>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</si>
  <si>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</si>
  <si>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</si>
  <si>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</si>
  <si>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</si>
  <si>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</si>
  <si>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</si>
  <si>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</si>
  <si>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</si>
  <si>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</si>
  <si>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</si>
  <si>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</si>
  <si>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</si>
  <si>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</si>
  <si>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</si>
  <si>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</si>
  <si>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</si>
  <si>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</si>
  <si>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</si>
  <si>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</si>
  <si>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</si>
  <si>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</si>
  <si>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</si>
  <si>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</si>
  <si>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</si>
  <si>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</si>
  <si>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</si>
  <si>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</si>
  <si>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</si>
  <si>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</si>
  <si>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</si>
  <si>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</si>
  <si>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</si>
  <si>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</si>
  <si>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</si>
  <si>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</si>
  <si>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</si>
  <si>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</si>
  <si>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</si>
  <si>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</si>
  <si>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</si>
  <si>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</si>
  <si>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</si>
  <si>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</si>
  <si>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</si>
  <si>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</si>
  <si>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</si>
  <si>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</si>
  <si>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</si>
  <si>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</si>
  <si>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</si>
  <si>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</si>
  <si>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</si>
  <si>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</si>
  <si>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</si>
  <si>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</si>
  <si>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</si>
  <si>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</si>
  <si>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</si>
  <si>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</si>
  <si>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</si>
  <si>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</si>
  <si>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</si>
  <si>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</si>
  <si>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</si>
  <si>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</si>
  <si>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</si>
  <si>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</si>
  <si>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</si>
  <si>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</si>
  <si>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</si>
  <si>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</si>
  <si>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</si>
  <si>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</si>
  <si>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</si>
  <si>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</si>
  <si>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</si>
  <si>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</si>
  <si>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</si>
  <si>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</si>
  <si>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</si>
  <si>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</si>
  <si>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</si>
  <si>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</si>
  <si>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</si>
  <si>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</si>
  <si>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</si>
  <si>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</si>
  <si>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</si>
  <si>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</si>
  <si>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</si>
  <si>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</si>
  <si>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</si>
  <si>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</si>
  <si>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</si>
  <si>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</si>
  <si>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</si>
  <si>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</si>
  <si>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</si>
  <si>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</si>
  <si>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</si>
  <si>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</si>
  <si>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</si>
  <si>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</si>
  <si>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</si>
  <si>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</si>
  <si>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</si>
  <si>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</si>
  <si>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</si>
  <si>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</si>
  <si>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</si>
  <si>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</si>
  <si>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</si>
  <si>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</si>
  <si>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</si>
  <si>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</si>
  <si>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</si>
  <si>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</si>
  <si>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</si>
  <si>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</si>
  <si>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</si>
  <si>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</si>
  <si>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</si>
  <si>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</si>
  <si>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</si>
  <si>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</si>
  <si>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</si>
  <si>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</si>
  <si>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</si>
  <si>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</si>
  <si>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</si>
  <si>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</si>
  <si>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</si>
  <si>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</si>
  <si>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</si>
  <si>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</si>
  <si>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</si>
  <si>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</si>
  <si>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</si>
  <si>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</si>
  <si>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</si>
  <si>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</si>
  <si>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</si>
  <si>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</si>
  <si>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</si>
  <si>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</si>
  <si>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</si>
  <si>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</si>
  <si>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</si>
  <si>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</si>
  <si>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</si>
  <si>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</si>
  <si>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</si>
  <si>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</si>
  <si>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</si>
  <si>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</si>
  <si>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</si>
  <si>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</si>
  <si>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</si>
  <si>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</si>
  <si>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</si>
  <si>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</si>
  <si>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</si>
  <si>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</si>
  <si>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</si>
  <si>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</si>
  <si>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</si>
  <si>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</si>
  <si>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</si>
  <si>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</si>
  <si>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</si>
  <si>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</si>
  <si>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</si>
  <si>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</si>
  <si>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</si>
  <si>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</si>
  <si>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</si>
  <si>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</si>
  <si>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</si>
  <si>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</si>
  <si>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</si>
  <si>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</si>
  <si>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</si>
  <si>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</si>
  <si>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</si>
  <si>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</si>
  <si>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</si>
  <si>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</si>
  <si>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</si>
  <si>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</si>
  <si>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</si>
  <si>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</si>
  <si>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</si>
  <si>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</si>
  <si>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</si>
  <si>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</si>
  <si>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</si>
  <si>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</si>
  <si>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</si>
  <si>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</si>
  <si>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</si>
  <si>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</si>
  <si>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</si>
  <si>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</si>
  <si>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</si>
  <si>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</si>
  <si>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</si>
  <si>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</si>
  <si>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</si>
  <si>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</si>
  <si>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</si>
  <si>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</si>
  <si>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</si>
  <si>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</si>
  <si>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</si>
  <si>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</si>
  <si>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</si>
  <si>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</si>
  <si>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</si>
  <si>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</si>
  <si>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</si>
  <si>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</si>
  <si>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</si>
  <si>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</si>
  <si>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</si>
  <si>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</si>
  <si>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</si>
  <si>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</si>
  <si>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</si>
  <si>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</si>
  <si>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</si>
  <si>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</si>
  <si>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</si>
  <si>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</si>
  <si>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</si>
  <si>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</si>
  <si>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</si>
  <si>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</si>
  <si>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</si>
  <si>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</si>
  <si>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</si>
  <si>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</si>
  <si>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</si>
  <si>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</si>
  <si>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</si>
  <si>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</si>
  <si>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</si>
  <si>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</si>
  <si>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</si>
  <si>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</si>
  <si>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</si>
  <si>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</si>
  <si>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</si>
  <si>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</si>
  <si>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</si>
  <si>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</si>
  <si>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</si>
  <si>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</si>
  <si>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</si>
  <si>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</si>
  <si>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</si>
  <si>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</si>
  <si>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</si>
  <si>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Перший заступник міського голови з питань діяльності виконавчих органів ради                                                        Федір ВОВЧЕНКО</t>
  </si>
  <si>
    <t>0217322</t>
  </si>
  <si>
    <t>7322</t>
  </si>
  <si>
    <t xml:space="preserve">Будівництво -1 медичних установ та закладів </t>
  </si>
  <si>
    <t xml:space="preserve">від  03 серпня  2022 року №224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</si>
</sst>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7" zoomScaleNormal="60" zoomScaleSheetLayoutView="47" workbookViewId="0">
      <pane xSplit="5" ySplit="10" topLeftCell="H195"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1" customWidth="1"/>
    <col min="2" max="2" width="19.6640625" style="21" customWidth="1"/>
    <col min="3" max="3" width="11.6640625" style="21" customWidth="1"/>
    <col min="4" max="4" width="66.88671875" style="1" customWidth="1"/>
    <col min="5" max="5" width="6.88671875" style="13" hidden="1" customWidth="1"/>
    <col min="6" max="7" width="31.44140625" style="31" customWidth="1"/>
    <col min="8" max="8" width="29.109375" style="31" customWidth="1"/>
    <col min="9" max="9" width="26.6640625" style="31" customWidth="1"/>
    <col min="10" max="10" width="31.44140625" style="31" customWidth="1"/>
    <col min="11" max="11" width="29.6640625" style="31" customWidth="1"/>
    <col min="12" max="12" width="28.88671875" style="31" customWidth="1"/>
    <col min="13" max="13" width="25.6640625" style="31" customWidth="1"/>
    <col min="14" max="14" width="20.664062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30" customHeight="1">
      <c r="D1" s="2"/>
      <c r="F1" s="27"/>
      <c r="G1" s="28"/>
      <c r="H1" s="27"/>
      <c r="I1" s="27"/>
      <c r="J1" s="27"/>
      <c r="K1" s="27"/>
      <c r="L1" s="27"/>
      <c r="M1" s="27"/>
      <c r="N1" s="143" t="s">
        <v>519</v>
      </c>
      <c r="O1" s="143"/>
      <c r="P1" s="143"/>
      <c r="Q1" s="143"/>
      <c r="T1" s="14"/>
    </row>
    <row r="2" spans="1:20" s="6" customFormat="1" ht="32.4" customHeight="1">
      <c r="A2" s="144" t="s">
        <v>291</v>
      </c>
      <c r="B2" s="144"/>
      <c r="C2" s="144"/>
      <c r="D2" s="144"/>
      <c r="E2" s="144"/>
      <c r="F2" s="144"/>
      <c r="G2" s="144"/>
      <c r="H2" s="144"/>
      <c r="I2" s="144"/>
      <c r="J2" s="144"/>
      <c r="K2" s="144"/>
      <c r="L2" s="144"/>
      <c r="M2" s="144"/>
      <c r="N2" s="145" t="s">
        <v>546</v>
      </c>
      <c r="O2" s="145"/>
      <c r="P2" s="145"/>
      <c r="Q2" s="145"/>
      <c r="T2" s="14"/>
    </row>
    <row r="3" spans="1:20" s="6" customFormat="1" ht="59.4" customHeight="1">
      <c r="A3" s="144" t="s">
        <v>529</v>
      </c>
      <c r="B3" s="144"/>
      <c r="C3" s="144"/>
      <c r="D3" s="144"/>
      <c r="E3" s="144"/>
      <c r="F3" s="144"/>
      <c r="G3" s="144"/>
      <c r="H3" s="144"/>
      <c r="I3" s="144"/>
      <c r="J3" s="144"/>
      <c r="K3" s="144"/>
      <c r="L3" s="144"/>
      <c r="M3" s="144"/>
      <c r="N3" s="146" t="s">
        <v>551</v>
      </c>
      <c r="O3" s="146"/>
      <c r="P3" s="146"/>
      <c r="Q3" s="146"/>
      <c r="T3" s="14"/>
    </row>
    <row r="4" spans="1:20" s="6" customFormat="1" ht="27" customHeight="1">
      <c r="A4" s="141">
        <v>25538000000</v>
      </c>
      <c r="B4" s="141"/>
      <c r="C4" s="141"/>
      <c r="D4" s="2"/>
      <c r="E4" s="17"/>
      <c r="F4" s="29"/>
      <c r="G4" s="29"/>
      <c r="H4" s="29"/>
      <c r="I4" s="29"/>
      <c r="J4" s="29"/>
      <c r="K4" s="147"/>
      <c r="L4" s="147"/>
      <c r="M4" s="147"/>
      <c r="N4" s="142"/>
      <c r="O4" s="142"/>
      <c r="P4" s="142"/>
      <c r="Q4" s="142"/>
      <c r="T4" s="14"/>
    </row>
    <row r="5" spans="1:20" s="6" customFormat="1" ht="17.399999999999999" customHeight="1">
      <c r="A5" s="149" t="s">
        <v>431</v>
      </c>
      <c r="B5" s="149"/>
      <c r="C5" s="149"/>
      <c r="D5" s="2"/>
      <c r="E5" s="9"/>
      <c r="F5" s="29"/>
      <c r="G5" s="29"/>
      <c r="H5" s="29"/>
      <c r="I5" s="29"/>
      <c r="J5" s="29"/>
      <c r="K5" s="29"/>
      <c r="L5" s="29"/>
      <c r="M5" s="29"/>
      <c r="N5" s="29"/>
      <c r="O5" s="29"/>
      <c r="P5" s="30"/>
      <c r="Q5" s="30"/>
      <c r="T5" s="14"/>
    </row>
    <row r="6" spans="1:20" s="32" customFormat="1" ht="30.6" customHeight="1">
      <c r="A6" s="150" t="s">
        <v>316</v>
      </c>
      <c r="B6" s="151" t="s">
        <v>513</v>
      </c>
      <c r="C6" s="150" t="s">
        <v>268</v>
      </c>
      <c r="D6" s="154" t="s">
        <v>428</v>
      </c>
      <c r="E6" s="139" t="s">
        <v>55</v>
      </c>
      <c r="F6" s="155" t="s">
        <v>269</v>
      </c>
      <c r="G6" s="156"/>
      <c r="H6" s="156"/>
      <c r="I6" s="156"/>
      <c r="J6" s="157"/>
      <c r="K6" s="137" t="s">
        <v>270</v>
      </c>
      <c r="L6" s="140"/>
      <c r="M6" s="140"/>
      <c r="N6" s="140"/>
      <c r="O6" s="140"/>
      <c r="P6" s="140"/>
      <c r="Q6" s="137" t="s">
        <v>0</v>
      </c>
      <c r="T6" s="33"/>
    </row>
    <row r="7" spans="1:20" s="32" customFormat="1" ht="25.2" customHeight="1">
      <c r="A7" s="150"/>
      <c r="B7" s="152"/>
      <c r="C7" s="150"/>
      <c r="D7" s="154"/>
      <c r="E7" s="139"/>
      <c r="F7" s="137" t="s">
        <v>192</v>
      </c>
      <c r="G7" s="137" t="s">
        <v>45</v>
      </c>
      <c r="H7" s="136" t="s">
        <v>25</v>
      </c>
      <c r="I7" s="136"/>
      <c r="J7" s="137" t="s">
        <v>46</v>
      </c>
      <c r="K7" s="137" t="s">
        <v>192</v>
      </c>
      <c r="L7" s="137" t="s">
        <v>271</v>
      </c>
      <c r="M7" s="137" t="s">
        <v>47</v>
      </c>
      <c r="N7" s="136" t="s">
        <v>25</v>
      </c>
      <c r="O7" s="136"/>
      <c r="P7" s="137" t="s">
        <v>48</v>
      </c>
      <c r="Q7" s="137"/>
      <c r="T7" s="33"/>
    </row>
    <row r="8" spans="1:20" s="32" customFormat="1" ht="16.5" customHeight="1">
      <c r="A8" s="150"/>
      <c r="B8" s="152"/>
      <c r="C8" s="150"/>
      <c r="D8" s="154"/>
      <c r="E8" s="139"/>
      <c r="F8" s="137"/>
      <c r="G8" s="137"/>
      <c r="H8" s="137" t="s">
        <v>446</v>
      </c>
      <c r="I8" s="137" t="s">
        <v>20</v>
      </c>
      <c r="J8" s="137"/>
      <c r="K8" s="137"/>
      <c r="L8" s="138"/>
      <c r="M8" s="138"/>
      <c r="N8" s="137" t="s">
        <v>447</v>
      </c>
      <c r="O8" s="137" t="s">
        <v>20</v>
      </c>
      <c r="P8" s="138"/>
      <c r="Q8" s="137"/>
      <c r="T8" s="33"/>
    </row>
    <row r="9" spans="1:20" s="32" customFormat="1" ht="106.2" customHeight="1">
      <c r="A9" s="150"/>
      <c r="B9" s="153"/>
      <c r="C9" s="150"/>
      <c r="D9" s="154"/>
      <c r="E9" s="139"/>
      <c r="F9" s="137"/>
      <c r="G9" s="137"/>
      <c r="H9" s="137"/>
      <c r="I9" s="137"/>
      <c r="J9" s="137"/>
      <c r="K9" s="137"/>
      <c r="L9" s="138"/>
      <c r="M9" s="138"/>
      <c r="N9" s="137"/>
      <c r="O9" s="137"/>
      <c r="P9" s="138"/>
      <c r="Q9" s="137"/>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531</v>
      </c>
      <c r="E11" s="46" t="s">
        <v>1</v>
      </c>
      <c r="F11" s="107">
        <f>F12</f>
        <v>81412298</v>
      </c>
      <c r="G11" s="107">
        <f>G12</f>
        <v>80656298</v>
      </c>
      <c r="H11" s="107">
        <f t="shared" ref="H11:P11" si="0">H12</f>
        <v>24180200</v>
      </c>
      <c r="I11" s="107">
        <f t="shared" si="0"/>
        <v>1350000</v>
      </c>
      <c r="J11" s="107">
        <f t="shared" si="0"/>
        <v>756000</v>
      </c>
      <c r="K11" s="107">
        <f t="shared" si="0"/>
        <v>10649177.5</v>
      </c>
      <c r="L11" s="107">
        <f t="shared" si="0"/>
        <v>10599177.5</v>
      </c>
      <c r="M11" s="107">
        <f t="shared" si="0"/>
        <v>50000</v>
      </c>
      <c r="N11" s="107">
        <f t="shared" si="0"/>
        <v>0</v>
      </c>
      <c r="O11" s="107">
        <f t="shared" si="0"/>
        <v>0</v>
      </c>
      <c r="P11" s="107">
        <f t="shared" si="0"/>
        <v>10599177.5</v>
      </c>
      <c r="Q11" s="107">
        <f t="shared" ref="Q11:Q86" si="1">F11+K11</f>
        <v>92061475.5</v>
      </c>
      <c r="R11" s="108"/>
      <c r="S11" s="108"/>
      <c r="T11" s="109"/>
    </row>
    <row r="12" spans="1:20" s="15" customFormat="1" ht="52.2" customHeight="1">
      <c r="A12" s="48" t="s">
        <v>113</v>
      </c>
      <c r="B12" s="48" t="s">
        <v>113</v>
      </c>
      <c r="C12" s="49"/>
      <c r="D12" s="50" t="str">
        <f>D11</f>
        <v>Виконавчий комітет місцевої ради</v>
      </c>
      <c r="E12" s="49"/>
      <c r="F12" s="110">
        <f t="shared" ref="F12:P12" si="2">SUM(F13:F47)</f>
        <v>81412298</v>
      </c>
      <c r="G12" s="110">
        <f>SUM(G13:G47)</f>
        <v>80656298</v>
      </c>
      <c r="H12" s="110">
        <f t="shared" si="2"/>
        <v>24180200</v>
      </c>
      <c r="I12" s="110">
        <f t="shared" si="2"/>
        <v>1350000</v>
      </c>
      <c r="J12" s="110">
        <f t="shared" si="2"/>
        <v>756000</v>
      </c>
      <c r="K12" s="110">
        <f t="shared" si="2"/>
        <v>10649177.5</v>
      </c>
      <c r="L12" s="110">
        <f t="shared" si="2"/>
        <v>10599177.5</v>
      </c>
      <c r="M12" s="110">
        <f t="shared" si="2"/>
        <v>50000</v>
      </c>
      <c r="N12" s="110">
        <f t="shared" si="2"/>
        <v>0</v>
      </c>
      <c r="O12" s="110">
        <f t="shared" si="2"/>
        <v>0</v>
      </c>
      <c r="P12" s="110">
        <f t="shared" si="2"/>
        <v>10599177.5</v>
      </c>
      <c r="Q12" s="110">
        <f t="shared" si="1"/>
        <v>92061475.5</v>
      </c>
      <c r="R12" s="111"/>
      <c r="S12" s="108"/>
      <c r="T12" s="109"/>
    </row>
    <row r="13" spans="1:20" s="16" customFormat="1" ht="75.599999999999994" customHeight="1">
      <c r="A13" s="43" t="s">
        <v>114</v>
      </c>
      <c r="B13" s="43" t="s">
        <v>317</v>
      </c>
      <c r="C13" s="43" t="s">
        <v>57</v>
      </c>
      <c r="D13" s="81" t="s">
        <v>454</v>
      </c>
      <c r="E13" s="3" t="s">
        <v>2</v>
      </c>
      <c r="F13" s="110">
        <f t="shared" ref="F13:F89" si="3">G13+J13</f>
        <v>34996752</v>
      </c>
      <c r="G13" s="110">
        <f>32442025+49000+855727+1650000</f>
        <v>34996752</v>
      </c>
      <c r="H13" s="112">
        <f>22178800+701400+1300000</f>
        <v>24180200</v>
      </c>
      <c r="I13" s="112">
        <v>1345000</v>
      </c>
      <c r="J13" s="112"/>
      <c r="K13" s="110">
        <f t="shared" ref="K13:K47" si="4">M13+P13</f>
        <v>310000</v>
      </c>
      <c r="L13" s="110">
        <f>100000+160000</f>
        <v>260000</v>
      </c>
      <c r="M13" s="110">
        <v>50000</v>
      </c>
      <c r="N13" s="110"/>
      <c r="O13" s="112"/>
      <c r="P13" s="112">
        <f>L13</f>
        <v>260000</v>
      </c>
      <c r="Q13" s="110">
        <f t="shared" si="1"/>
        <v>35306752</v>
      </c>
      <c r="R13" s="113"/>
      <c r="S13" s="113"/>
      <c r="T13" s="114"/>
    </row>
    <row r="14" spans="1:20" s="16" customFormat="1" ht="45" customHeight="1">
      <c r="A14" s="43" t="s">
        <v>130</v>
      </c>
      <c r="B14" s="43" t="s">
        <v>257</v>
      </c>
      <c r="C14" s="43" t="s">
        <v>68</v>
      </c>
      <c r="D14" s="81" t="s">
        <v>131</v>
      </c>
      <c r="E14" s="3"/>
      <c r="F14" s="110">
        <f t="shared" si="3"/>
        <v>2758700</v>
      </c>
      <c r="G14" s="110">
        <f>222600+74900+428000+859300+1000+100000+50000+500000+49900+100000+300000+308000+190000-800000+375000</f>
        <v>2758700</v>
      </c>
      <c r="H14" s="112"/>
      <c r="I14" s="112"/>
      <c r="J14" s="112"/>
      <c r="K14" s="110">
        <f t="shared" si="4"/>
        <v>0</v>
      </c>
      <c r="L14" s="110"/>
      <c r="M14" s="110"/>
      <c r="N14" s="110"/>
      <c r="O14" s="112"/>
      <c r="P14" s="112">
        <f>L14</f>
        <v>0</v>
      </c>
      <c r="Q14" s="110">
        <f t="shared" si="1"/>
        <v>2758700</v>
      </c>
      <c r="R14" s="113"/>
      <c r="S14" s="113"/>
      <c r="T14" s="114"/>
    </row>
    <row r="15" spans="1:20" s="15" customFormat="1" ht="44.4" customHeight="1">
      <c r="A15" s="43" t="s">
        <v>115</v>
      </c>
      <c r="B15" s="43" t="s">
        <v>318</v>
      </c>
      <c r="C15" s="51" t="s">
        <v>58</v>
      </c>
      <c r="D15" s="82" t="s">
        <v>84</v>
      </c>
      <c r="E15" s="7" t="s">
        <v>56</v>
      </c>
      <c r="F15" s="110">
        <f t="shared" si="3"/>
        <v>15743135</v>
      </c>
      <c r="G15" s="110">
        <f>12698135+410000+100000-265000+800000+2000000</f>
        <v>15743135</v>
      </c>
      <c r="H15" s="112"/>
      <c r="I15" s="112"/>
      <c r="J15" s="112"/>
      <c r="K15" s="110">
        <f t="shared" si="4"/>
        <v>5309537.5</v>
      </c>
      <c r="L15" s="110">
        <f>5000000+669637.5-410000+49900</f>
        <v>5309537.5</v>
      </c>
      <c r="M15" s="110"/>
      <c r="N15" s="110"/>
      <c r="O15" s="112"/>
      <c r="P15" s="115">
        <f>L15</f>
        <v>5309537.5</v>
      </c>
      <c r="Q15" s="110">
        <f t="shared" si="1"/>
        <v>21052672.5</v>
      </c>
      <c r="R15" s="108"/>
      <c r="S15" s="108"/>
      <c r="T15" s="109"/>
    </row>
    <row r="16" spans="1:20" s="15" customFormat="1" ht="72" customHeight="1">
      <c r="A16" s="43" t="s">
        <v>120</v>
      </c>
      <c r="B16" s="43" t="s">
        <v>319</v>
      </c>
      <c r="C16" s="43" t="s">
        <v>59</v>
      </c>
      <c r="D16" s="83" t="s">
        <v>85</v>
      </c>
      <c r="E16" s="5" t="s">
        <v>51</v>
      </c>
      <c r="F16" s="110">
        <f>G16+J16</f>
        <v>6581235</v>
      </c>
      <c r="G16" s="110">
        <f>5301600+50000+39000-43365+1234000</f>
        <v>6581235</v>
      </c>
      <c r="H16" s="112"/>
      <c r="I16" s="112"/>
      <c r="J16" s="112"/>
      <c r="K16" s="110">
        <f t="shared" si="4"/>
        <v>2051240</v>
      </c>
      <c r="L16" s="110">
        <f>1150240+901000</f>
        <v>2051240</v>
      </c>
      <c r="M16" s="110"/>
      <c r="N16" s="110"/>
      <c r="O16" s="112"/>
      <c r="P16" s="112">
        <f>L16</f>
        <v>2051240</v>
      </c>
      <c r="Q16" s="110">
        <f t="shared" si="1"/>
        <v>8632475</v>
      </c>
      <c r="R16" s="108"/>
      <c r="S16" s="108"/>
      <c r="T16" s="109"/>
    </row>
    <row r="17" spans="1:20" s="15" customFormat="1" ht="46.2"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3552400</v>
      </c>
      <c r="G18" s="110">
        <v>3552400</v>
      </c>
      <c r="H18" s="112"/>
      <c r="I18" s="112"/>
      <c r="J18" s="112"/>
      <c r="K18" s="110">
        <f t="shared" si="4"/>
        <v>0</v>
      </c>
      <c r="L18" s="110"/>
      <c r="M18" s="110"/>
      <c r="N18" s="110"/>
      <c r="O18" s="112"/>
      <c r="P18" s="112"/>
      <c r="Q18" s="110">
        <f t="shared" si="1"/>
        <v>3552400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214000</v>
      </c>
      <c r="G20" s="110">
        <v>214000</v>
      </c>
      <c r="H20" s="112"/>
      <c r="I20" s="112"/>
      <c r="J20" s="112"/>
      <c r="K20" s="110">
        <f t="shared" si="4"/>
        <v>0</v>
      </c>
      <c r="L20" s="110"/>
      <c r="M20" s="110"/>
      <c r="N20" s="110"/>
      <c r="O20" s="112"/>
      <c r="P20" s="115"/>
      <c r="Q20" s="110">
        <f t="shared" si="1"/>
        <v>214000</v>
      </c>
      <c r="R20" s="108"/>
      <c r="S20" s="108"/>
      <c r="T20" s="109"/>
    </row>
    <row r="21" spans="1:20" s="15" customFormat="1" ht="57" customHeight="1">
      <c r="A21" s="43" t="s">
        <v>118</v>
      </c>
      <c r="B21" s="43" t="s">
        <v>324</v>
      </c>
      <c r="C21" s="43" t="s">
        <v>61</v>
      </c>
      <c r="D21" s="84" t="s">
        <v>107</v>
      </c>
      <c r="E21" s="5"/>
      <c r="F21" s="110">
        <f t="shared" si="3"/>
        <v>21400</v>
      </c>
      <c r="G21" s="110">
        <v>21400</v>
      </c>
      <c r="H21" s="112"/>
      <c r="I21" s="112"/>
      <c r="J21" s="112"/>
      <c r="K21" s="110">
        <f t="shared" si="4"/>
        <v>0</v>
      </c>
      <c r="L21" s="110"/>
      <c r="M21" s="110"/>
      <c r="N21" s="110"/>
      <c r="O21" s="112"/>
      <c r="P21" s="115"/>
      <c r="Q21" s="110">
        <f t="shared" si="1"/>
        <v>21400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5"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2"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2"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2"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871400</v>
      </c>
      <c r="G29" s="110">
        <f>786400+30000+30000+14000-24000+35000</f>
        <v>871400</v>
      </c>
      <c r="H29" s="112"/>
      <c r="I29" s="112"/>
      <c r="J29" s="112"/>
      <c r="K29" s="110">
        <f t="shared" si="4"/>
        <v>22500</v>
      </c>
      <c r="L29" s="110">
        <v>22500</v>
      </c>
      <c r="M29" s="110"/>
      <c r="N29" s="110"/>
      <c r="O29" s="112"/>
      <c r="P29" s="112">
        <f>L29</f>
        <v>22500</v>
      </c>
      <c r="Q29" s="110">
        <f t="shared" si="1"/>
        <v>893900</v>
      </c>
      <c r="R29" s="116"/>
      <c r="S29" s="116"/>
      <c r="T29" s="114"/>
    </row>
    <row r="30" spans="1:20" s="6" customFormat="1" ht="54.6" customHeight="1">
      <c r="A30" s="43" t="s">
        <v>208</v>
      </c>
      <c r="B30" s="43" t="s">
        <v>332</v>
      </c>
      <c r="C30" s="43" t="s">
        <v>62</v>
      </c>
      <c r="D30" s="83" t="s">
        <v>209</v>
      </c>
      <c r="E30" s="5"/>
      <c r="F30" s="110">
        <f>G30+J30</f>
        <v>2255200</v>
      </c>
      <c r="G30" s="110">
        <f>2101200+132000+100000-550000+308365+72000-308365+400000</f>
        <v>2255200</v>
      </c>
      <c r="H30" s="112"/>
      <c r="I30" s="112"/>
      <c r="J30" s="112"/>
      <c r="K30" s="110">
        <f t="shared" si="4"/>
        <v>0</v>
      </c>
      <c r="L30" s="110"/>
      <c r="M30" s="110"/>
      <c r="N30" s="110"/>
      <c r="O30" s="112"/>
      <c r="P30" s="112"/>
      <c r="Q30" s="110">
        <f t="shared" si="1"/>
        <v>2255200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2" customHeight="1">
      <c r="A32" s="43" t="s">
        <v>287</v>
      </c>
      <c r="B32" s="43" t="s">
        <v>333</v>
      </c>
      <c r="C32" s="43" t="s">
        <v>286</v>
      </c>
      <c r="D32" s="44" t="s">
        <v>288</v>
      </c>
      <c r="E32" s="5" t="s">
        <v>19</v>
      </c>
      <c r="F32" s="110">
        <f t="shared" si="3"/>
        <v>0</v>
      </c>
      <c r="G32" s="110"/>
      <c r="H32" s="112"/>
      <c r="I32" s="112"/>
      <c r="J32" s="112"/>
      <c r="K32" s="110">
        <f t="shared" si="4"/>
        <v>500000</v>
      </c>
      <c r="L32" s="110">
        <v>500000</v>
      </c>
      <c r="M32" s="110"/>
      <c r="N32" s="110"/>
      <c r="O32" s="112"/>
      <c r="P32" s="112">
        <f t="shared" ref="P32:P36" si="5">L32</f>
        <v>500000</v>
      </c>
      <c r="Q32" s="110">
        <f t="shared" si="1"/>
        <v>500000</v>
      </c>
      <c r="R32" s="116"/>
      <c r="S32" s="116"/>
      <c r="T32" s="114"/>
    </row>
    <row r="33" spans="1:20" s="6" customFormat="1" ht="42" customHeight="1">
      <c r="A33" s="43" t="s">
        <v>548</v>
      </c>
      <c r="B33" s="43" t="s">
        <v>549</v>
      </c>
      <c r="C33" s="43" t="s">
        <v>79</v>
      </c>
      <c r="D33" s="44" t="s">
        <v>550</v>
      </c>
      <c r="E33" s="5"/>
      <c r="F33" s="110">
        <f t="shared" si="3"/>
        <v>0</v>
      </c>
      <c r="G33" s="117"/>
      <c r="H33" s="118"/>
      <c r="I33" s="118"/>
      <c r="J33" s="118"/>
      <c r="K33" s="110">
        <f t="shared" si="4"/>
        <v>305900</v>
      </c>
      <c r="L33" s="117">
        <v>305900</v>
      </c>
      <c r="M33" s="117"/>
      <c r="N33" s="117"/>
      <c r="O33" s="118"/>
      <c r="P33" s="118">
        <f>L33</f>
        <v>305900</v>
      </c>
      <c r="Q33" s="110">
        <f t="shared" si="1"/>
        <v>305900</v>
      </c>
      <c r="R33" s="116"/>
      <c r="S33" s="116"/>
      <c r="T33" s="114"/>
    </row>
    <row r="34" spans="1:20" s="6" customFormat="1" ht="67.95" customHeight="1">
      <c r="A34" s="43" t="s">
        <v>407</v>
      </c>
      <c r="B34" s="43" t="s">
        <v>397</v>
      </c>
      <c r="C34" s="43" t="s">
        <v>79</v>
      </c>
      <c r="D34" s="44" t="s">
        <v>408</v>
      </c>
      <c r="E34" s="5"/>
      <c r="F34" s="110">
        <f>G34+J34</f>
        <v>0</v>
      </c>
      <c r="G34" s="117">
        <f>97000-97000</f>
        <v>0</v>
      </c>
      <c r="H34" s="118"/>
      <c r="I34" s="118"/>
      <c r="J34" s="118"/>
      <c r="K34" s="110">
        <f t="shared" si="4"/>
        <v>0</v>
      </c>
      <c r="L34" s="117">
        <f>500000+300000+1200000-2000000</f>
        <v>0</v>
      </c>
      <c r="M34" s="117"/>
      <c r="N34" s="117"/>
      <c r="O34" s="118"/>
      <c r="P34" s="118">
        <f t="shared" si="5"/>
        <v>0</v>
      </c>
      <c r="Q34" s="110">
        <f t="shared" si="1"/>
        <v>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2"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240000</v>
      </c>
      <c r="L36" s="110">
        <f>885100-25000-620100</f>
        <v>240000</v>
      </c>
      <c r="M36" s="110"/>
      <c r="N36" s="110"/>
      <c r="O36" s="112"/>
      <c r="P36" s="112">
        <f t="shared" si="5"/>
        <v>240000</v>
      </c>
      <c r="Q36" s="110">
        <f t="shared" si="1"/>
        <v>2191691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28.95" customHeight="1">
      <c r="A38" s="43" t="s">
        <v>132</v>
      </c>
      <c r="B38" s="43" t="s">
        <v>337</v>
      </c>
      <c r="C38" s="43" t="s">
        <v>82</v>
      </c>
      <c r="D38" s="83" t="s">
        <v>133</v>
      </c>
      <c r="E38" s="5"/>
      <c r="F38" s="110">
        <f t="shared" si="3"/>
        <v>0</v>
      </c>
      <c r="G38" s="117"/>
      <c r="H38" s="118"/>
      <c r="I38" s="118"/>
      <c r="J38" s="118">
        <f>201000-201000</f>
        <v>0</v>
      </c>
      <c r="K38" s="110">
        <f t="shared" si="4"/>
        <v>0</v>
      </c>
      <c r="L38" s="117"/>
      <c r="M38" s="117"/>
      <c r="N38" s="117"/>
      <c r="O38" s="118"/>
      <c r="P38" s="118"/>
      <c r="Q38" s="110">
        <f t="shared" si="1"/>
        <v>0</v>
      </c>
      <c r="R38" s="116"/>
      <c r="S38" s="116"/>
      <c r="T38" s="114"/>
    </row>
    <row r="39" spans="1:20" s="6" customFormat="1" ht="49.95"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79100</v>
      </c>
      <c r="G40" s="117">
        <v>79100</v>
      </c>
      <c r="H40" s="118"/>
      <c r="I40" s="118"/>
      <c r="J40" s="118"/>
      <c r="K40" s="110">
        <f t="shared" si="4"/>
        <v>0</v>
      </c>
      <c r="L40" s="117"/>
      <c r="M40" s="117"/>
      <c r="N40" s="117"/>
      <c r="O40" s="118"/>
      <c r="P40" s="118"/>
      <c r="Q40" s="110">
        <f t="shared" si="1"/>
        <v>79100</v>
      </c>
      <c r="R40" s="116"/>
      <c r="S40" s="116"/>
      <c r="T40" s="114"/>
    </row>
    <row r="41" spans="1:20" s="6" customFormat="1" ht="79.2"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2140420</v>
      </c>
      <c r="G42" s="117">
        <f>1498000+26000+215000+176420+225000</f>
        <v>2140420</v>
      </c>
      <c r="H42" s="118"/>
      <c r="I42" s="118"/>
      <c r="J42" s="118"/>
      <c r="K42" s="110">
        <f t="shared" si="4"/>
        <v>0</v>
      </c>
      <c r="L42" s="117"/>
      <c r="M42" s="117"/>
      <c r="N42" s="117"/>
      <c r="O42" s="118"/>
      <c r="P42" s="118"/>
      <c r="Q42" s="110">
        <f t="shared" si="1"/>
        <v>2140420</v>
      </c>
      <c r="R42" s="116"/>
      <c r="S42" s="116"/>
      <c r="T42" s="114"/>
    </row>
    <row r="43" spans="1:20" s="6" customFormat="1" ht="52.2"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200000000000003"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 customHeight="1">
      <c r="A46" s="43" t="s">
        <v>542</v>
      </c>
      <c r="B46" s="43" t="s">
        <v>543</v>
      </c>
      <c r="C46" s="43" t="s">
        <v>544</v>
      </c>
      <c r="D46" s="83" t="s">
        <v>545</v>
      </c>
      <c r="E46" s="34"/>
      <c r="F46" s="117">
        <f t="shared" si="6"/>
        <v>4645804</v>
      </c>
      <c r="G46" s="110">
        <f>1000000+50000+910000+140804+1745000+800000</f>
        <v>4645804</v>
      </c>
      <c r="H46" s="112"/>
      <c r="I46" s="112"/>
      <c r="J46" s="112"/>
      <c r="K46" s="110">
        <f t="shared" si="4"/>
        <v>1560000</v>
      </c>
      <c r="L46" s="110">
        <v>1560000</v>
      </c>
      <c r="M46" s="110"/>
      <c r="N46" s="110"/>
      <c r="O46" s="112"/>
      <c r="P46" s="112">
        <f>L46</f>
        <v>1560000</v>
      </c>
      <c r="Q46" s="110">
        <f t="shared" si="1"/>
        <v>6205804</v>
      </c>
      <c r="R46" s="116"/>
      <c r="S46" s="116"/>
      <c r="T46" s="114"/>
    </row>
    <row r="47" spans="1:20" s="6" customFormat="1" ht="49.2" customHeight="1">
      <c r="A47" s="43" t="s">
        <v>125</v>
      </c>
      <c r="B47" s="43" t="s">
        <v>341</v>
      </c>
      <c r="C47" s="43" t="s">
        <v>65</v>
      </c>
      <c r="D47" s="83" t="s">
        <v>109</v>
      </c>
      <c r="E47" s="34"/>
      <c r="F47" s="110">
        <f>G47</f>
        <v>1050000</v>
      </c>
      <c r="G47" s="110">
        <f>1200000-150000</f>
        <v>1050000</v>
      </c>
      <c r="H47" s="112"/>
      <c r="I47" s="112"/>
      <c r="J47" s="112"/>
      <c r="K47" s="110">
        <f t="shared" si="4"/>
        <v>150000</v>
      </c>
      <c r="L47" s="110">
        <v>150000</v>
      </c>
      <c r="M47" s="110"/>
      <c r="N47" s="110"/>
      <c r="O47" s="112"/>
      <c r="P47" s="112">
        <f>L47</f>
        <v>150000</v>
      </c>
      <c r="Q47" s="110">
        <f t="shared" si="1"/>
        <v>1200000</v>
      </c>
      <c r="R47" s="116"/>
      <c r="S47" s="116"/>
      <c r="T47" s="114"/>
    </row>
    <row r="48" spans="1:20" s="17" customFormat="1" ht="55.95" customHeight="1">
      <c r="A48" s="45" t="s">
        <v>134</v>
      </c>
      <c r="B48" s="45" t="s">
        <v>134</v>
      </c>
      <c r="C48" s="53"/>
      <c r="D48" s="71" t="s">
        <v>26</v>
      </c>
      <c r="E48" s="53" t="s">
        <v>26</v>
      </c>
      <c r="F48" s="107">
        <f>F49</f>
        <v>283809127.87</v>
      </c>
      <c r="G48" s="107">
        <f t="shared" ref="G48:P48" si="7">G49</f>
        <v>283809127.87</v>
      </c>
      <c r="H48" s="107">
        <f t="shared" si="7"/>
        <v>173007300</v>
      </c>
      <c r="I48" s="107">
        <f t="shared" si="7"/>
        <v>41484408</v>
      </c>
      <c r="J48" s="107">
        <f t="shared" si="7"/>
        <v>0</v>
      </c>
      <c r="K48" s="107">
        <f t="shared" si="7"/>
        <v>11316300</v>
      </c>
      <c r="L48" s="107">
        <f t="shared" si="7"/>
        <v>1875960</v>
      </c>
      <c r="M48" s="107">
        <f t="shared" si="7"/>
        <v>9440340</v>
      </c>
      <c r="N48" s="107">
        <f t="shared" si="7"/>
        <v>180500</v>
      </c>
      <c r="O48" s="107">
        <f t="shared" si="7"/>
        <v>335000</v>
      </c>
      <c r="P48" s="107">
        <f t="shared" si="7"/>
        <v>1875960</v>
      </c>
      <c r="Q48" s="107">
        <f t="shared" si="1"/>
        <v>295125427.87</v>
      </c>
      <c r="R48" s="119"/>
      <c r="S48" s="119"/>
      <c r="T48" s="109"/>
    </row>
    <row r="49" spans="1:20" s="17" customFormat="1" ht="55.95" customHeight="1">
      <c r="A49" s="48" t="s">
        <v>135</v>
      </c>
      <c r="B49" s="48" t="s">
        <v>135</v>
      </c>
      <c r="C49" s="54"/>
      <c r="D49" s="72" t="s">
        <v>168</v>
      </c>
      <c r="E49" s="54"/>
      <c r="F49" s="110">
        <f>G49</f>
        <v>283809127.87</v>
      </c>
      <c r="G49" s="110">
        <f>SUM(G50:G80)-G54-G56-G59-G66-G68-G67-G69-G72-G73</f>
        <v>283809127.87</v>
      </c>
      <c r="H49" s="110">
        <f t="shared" ref="H49:P49" si="8">SUM(H50:H80)-H54-H56-H59-H66-H68-H67-H69-H72-H73</f>
        <v>173007300</v>
      </c>
      <c r="I49" s="110">
        <f t="shared" si="8"/>
        <v>41484408</v>
      </c>
      <c r="J49" s="110">
        <f t="shared" si="8"/>
        <v>0</v>
      </c>
      <c r="K49" s="110">
        <f t="shared" si="8"/>
        <v>11316300</v>
      </c>
      <c r="L49" s="110">
        <f t="shared" si="8"/>
        <v>1875960</v>
      </c>
      <c r="M49" s="110">
        <f t="shared" si="8"/>
        <v>9440340</v>
      </c>
      <c r="N49" s="110">
        <f t="shared" si="8"/>
        <v>180500</v>
      </c>
      <c r="O49" s="110">
        <f t="shared" si="8"/>
        <v>335000</v>
      </c>
      <c r="P49" s="110">
        <f t="shared" si="8"/>
        <v>1875960</v>
      </c>
      <c r="Q49" s="110">
        <f t="shared" si="1"/>
        <v>295125427.87</v>
      </c>
      <c r="R49" s="119"/>
      <c r="S49" s="119"/>
      <c r="T49" s="109"/>
    </row>
    <row r="50" spans="1:20" s="6" customFormat="1" ht="77.400000000000006" customHeight="1">
      <c r="A50" s="43" t="s">
        <v>137</v>
      </c>
      <c r="B50" s="43" t="s">
        <v>317</v>
      </c>
      <c r="C50" s="43" t="s">
        <v>57</v>
      </c>
      <c r="D50" s="81" t="s">
        <v>455</v>
      </c>
      <c r="E50" s="70" t="s">
        <v>2</v>
      </c>
      <c r="F50" s="110">
        <f t="shared" si="3"/>
        <v>2456850</v>
      </c>
      <c r="G50" s="110">
        <f>2406850+50000</f>
        <v>2456850</v>
      </c>
      <c r="H50" s="112">
        <f>1890000+40000</f>
        <v>1930000</v>
      </c>
      <c r="I50" s="112">
        <v>60800</v>
      </c>
      <c r="J50" s="112"/>
      <c r="K50" s="110">
        <f t="shared" ref="K50:K80" si="9">M50+P50</f>
        <v>0</v>
      </c>
      <c r="L50" s="110"/>
      <c r="M50" s="112"/>
      <c r="N50" s="110"/>
      <c r="O50" s="112"/>
      <c r="P50" s="112"/>
      <c r="Q50" s="110">
        <f t="shared" si="1"/>
        <v>2456850</v>
      </c>
      <c r="R50" s="116"/>
      <c r="S50" s="116"/>
      <c r="T50" s="114"/>
    </row>
    <row r="51" spans="1:20" s="6" customFormat="1" ht="58.95"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60691722</v>
      </c>
      <c r="G52" s="110">
        <f>48978700+4959090-368068+607000+2405000+4110000</f>
        <v>60691722</v>
      </c>
      <c r="H52" s="112">
        <f>25750000+4069090-300090+1000000+3350000+1300000</f>
        <v>35169000</v>
      </c>
      <c r="I52" s="112">
        <f>11169550-510000</f>
        <v>10659550</v>
      </c>
      <c r="J52" s="112"/>
      <c r="K52" s="110">
        <f t="shared" si="9"/>
        <v>5080720</v>
      </c>
      <c r="L52" s="110">
        <f>50160+150000+150000+150000</f>
        <v>500160</v>
      </c>
      <c r="M52" s="112">
        <v>4580560</v>
      </c>
      <c r="N52" s="110"/>
      <c r="O52" s="112"/>
      <c r="P52" s="112">
        <f>L52</f>
        <v>500160</v>
      </c>
      <c r="Q52" s="110">
        <f t="shared" si="1"/>
        <v>65772442</v>
      </c>
      <c r="R52" s="116"/>
      <c r="S52" s="116"/>
      <c r="T52" s="114"/>
    </row>
    <row r="53" spans="1:20" s="6" customFormat="1" ht="52.95" customHeight="1">
      <c r="A53" s="43" t="s">
        <v>140</v>
      </c>
      <c r="B53" s="43" t="s">
        <v>78</v>
      </c>
      <c r="C53" s="43"/>
      <c r="D53" s="100" t="s">
        <v>535</v>
      </c>
      <c r="E53" s="70" t="s">
        <v>38</v>
      </c>
      <c r="F53" s="110">
        <f>G53</f>
        <v>82427403</v>
      </c>
      <c r="G53" s="110">
        <f>G54</f>
        <v>82427403</v>
      </c>
      <c r="H53" s="110">
        <f t="shared" ref="H53:J53" si="10">H54</f>
        <v>26075000</v>
      </c>
      <c r="I53" s="110">
        <f t="shared" si="10"/>
        <v>29201608</v>
      </c>
      <c r="J53" s="110">
        <f t="shared" si="10"/>
        <v>0</v>
      </c>
      <c r="K53" s="110">
        <f t="shared" si="9"/>
        <v>5242280</v>
      </c>
      <c r="L53" s="110">
        <f>L54</f>
        <v>410000</v>
      </c>
      <c r="M53" s="110">
        <f t="shared" ref="M53:O53" si="11">M54</f>
        <v>4832280</v>
      </c>
      <c r="N53" s="110">
        <f t="shared" si="11"/>
        <v>180500</v>
      </c>
      <c r="O53" s="110">
        <f t="shared" si="11"/>
        <v>335000</v>
      </c>
      <c r="P53" s="112">
        <f>P54</f>
        <v>410000</v>
      </c>
      <c r="Q53" s="110">
        <f>F53+K53</f>
        <v>87669683</v>
      </c>
      <c r="R53" s="116"/>
      <c r="S53" s="116"/>
      <c r="T53" s="114"/>
    </row>
    <row r="54" spans="1:20" s="6" customFormat="1" ht="49.95" customHeight="1">
      <c r="A54" s="55" t="s">
        <v>458</v>
      </c>
      <c r="B54" s="55" t="s">
        <v>456</v>
      </c>
      <c r="C54" s="55" t="s">
        <v>70</v>
      </c>
      <c r="D54" s="101" t="s">
        <v>457</v>
      </c>
      <c r="E54" s="70"/>
      <c r="F54" s="110">
        <f>G54</f>
        <v>82427403</v>
      </c>
      <c r="G54" s="110">
        <f>54013500+6350000+30000+5000+174500+400000+400000+999000+28000+170000+688000+199000+15858954+2450000+661449</f>
        <v>82427403</v>
      </c>
      <c r="H54" s="112">
        <f>18412000+5580000+2000000+83000</f>
        <v>26075000</v>
      </c>
      <c r="I54" s="112">
        <f>25897200+1760408+1544000</f>
        <v>29201608</v>
      </c>
      <c r="J54" s="112"/>
      <c r="K54" s="110">
        <f t="shared" si="9"/>
        <v>5242280</v>
      </c>
      <c r="L54" s="110">
        <f>260000+75000+75000+600000+225000-825000</f>
        <v>410000</v>
      </c>
      <c r="M54" s="112">
        <v>4832280</v>
      </c>
      <c r="N54" s="110">
        <v>180500</v>
      </c>
      <c r="O54" s="112">
        <v>335000</v>
      </c>
      <c r="P54" s="112">
        <f>L54</f>
        <v>410000</v>
      </c>
      <c r="Q54" s="110">
        <f>F54+K54</f>
        <v>87669683</v>
      </c>
      <c r="R54" s="116"/>
      <c r="S54" s="116"/>
      <c r="T54" s="114"/>
    </row>
    <row r="55" spans="1:20" s="6" customFormat="1" ht="47.4"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5"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2"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2" customHeight="1">
      <c r="A62" s="43" t="s">
        <v>470</v>
      </c>
      <c r="B62" s="43" t="s">
        <v>75</v>
      </c>
      <c r="C62" s="59" t="s">
        <v>71</v>
      </c>
      <c r="D62" s="100" t="s">
        <v>471</v>
      </c>
      <c r="E62" s="88" t="s">
        <v>42</v>
      </c>
      <c r="F62" s="123">
        <f>G62+J62</f>
        <v>8824800</v>
      </c>
      <c r="G62" s="110">
        <f>5426800+313000+1350000+1005000+730000</f>
        <v>8824800</v>
      </c>
      <c r="H62" s="112">
        <f>3540000+1120000+500000+600000+92000</f>
        <v>5852000</v>
      </c>
      <c r="I62" s="112">
        <f>834100+3000</f>
        <v>837100</v>
      </c>
      <c r="J62" s="112"/>
      <c r="K62" s="110">
        <f t="shared" si="9"/>
        <v>139500</v>
      </c>
      <c r="L62" s="110">
        <v>112000</v>
      </c>
      <c r="M62" s="112">
        <v>27500</v>
      </c>
      <c r="N62" s="110"/>
      <c r="O62" s="112"/>
      <c r="P62" s="112">
        <f>L62</f>
        <v>112000</v>
      </c>
      <c r="Q62" s="110">
        <f t="shared" si="1"/>
        <v>8964300</v>
      </c>
      <c r="R62" s="116"/>
      <c r="S62" s="116"/>
      <c r="T62" s="114"/>
    </row>
    <row r="63" spans="1:20" s="6" customFormat="1" ht="50.4" customHeight="1">
      <c r="A63" s="43" t="s">
        <v>520</v>
      </c>
      <c r="B63" s="43" t="s">
        <v>474</v>
      </c>
      <c r="C63" s="59" t="s">
        <v>72</v>
      </c>
      <c r="D63" s="100" t="s">
        <v>210</v>
      </c>
      <c r="E63" s="88"/>
      <c r="F63" s="123">
        <f t="shared" ref="F63:F64" si="13">G63+J63</f>
        <v>5779700</v>
      </c>
      <c r="G63" s="110">
        <f>3831700+550000+935000+463000</f>
        <v>5779700</v>
      </c>
      <c r="H63" s="112">
        <f>2100000+450000+750000+380000</f>
        <v>3680000</v>
      </c>
      <c r="I63" s="112">
        <f>285300+40000</f>
        <v>325300</v>
      </c>
      <c r="J63" s="112"/>
      <c r="K63" s="110">
        <f t="shared" si="9"/>
        <v>450000</v>
      </c>
      <c r="L63" s="110">
        <v>450000</v>
      </c>
      <c r="M63" s="112"/>
      <c r="N63" s="110"/>
      <c r="O63" s="112"/>
      <c r="P63" s="112">
        <f>L63</f>
        <v>450000</v>
      </c>
      <c r="Q63" s="110">
        <f>F63+K63</f>
        <v>6229700</v>
      </c>
      <c r="R63" s="116"/>
      <c r="S63" s="116"/>
      <c r="T63" s="114"/>
    </row>
    <row r="64" spans="1:20" s="6" customFormat="1" ht="41.4"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 customHeight="1">
      <c r="A65" s="43" t="s">
        <v>141</v>
      </c>
      <c r="B65" s="43" t="s">
        <v>343</v>
      </c>
      <c r="C65" s="59"/>
      <c r="D65" s="100" t="s">
        <v>477</v>
      </c>
      <c r="E65" s="88"/>
      <c r="F65" s="123">
        <f>F66+F67+F68+F69</f>
        <v>2312103.11</v>
      </c>
      <c r="G65" s="123">
        <f t="shared" ref="G65:J65" si="14">G66+G67+G68+G69</f>
        <v>2312103.11</v>
      </c>
      <c r="H65" s="123">
        <f t="shared" si="14"/>
        <v>1474700</v>
      </c>
      <c r="I65" s="123">
        <f t="shared" si="14"/>
        <v>193350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2447103.11</v>
      </c>
      <c r="R65" s="116"/>
      <c r="S65" s="116"/>
      <c r="T65" s="114"/>
    </row>
    <row r="66" spans="1:20" s="6" customFormat="1" ht="72.599999999999994" customHeight="1">
      <c r="A66" s="43" t="s">
        <v>478</v>
      </c>
      <c r="B66" s="43" t="s">
        <v>482</v>
      </c>
      <c r="C66" s="59" t="s">
        <v>72</v>
      </c>
      <c r="D66" s="102" t="s">
        <v>486</v>
      </c>
      <c r="E66" s="70"/>
      <c r="F66" s="110">
        <f t="shared" ref="F66:F74" si="16">G66</f>
        <v>318550</v>
      </c>
      <c r="G66" s="110">
        <f>299050+8000+6500+5000</f>
        <v>318550</v>
      </c>
      <c r="H66" s="112">
        <f>27000+4200+3500</f>
        <v>34700</v>
      </c>
      <c r="I66" s="112">
        <f>186350+7000</f>
        <v>193350</v>
      </c>
      <c r="J66" s="112"/>
      <c r="K66" s="110">
        <f t="shared" si="9"/>
        <v>0</v>
      </c>
      <c r="L66" s="110"/>
      <c r="M66" s="112"/>
      <c r="N66" s="110"/>
      <c r="O66" s="112"/>
      <c r="P66" s="112"/>
      <c r="Q66" s="110">
        <f t="shared" si="1"/>
        <v>318550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1703900</v>
      </c>
      <c r="G70" s="110">
        <f>1170900+6000+200000+185000+142000</f>
        <v>1703900</v>
      </c>
      <c r="H70" s="112">
        <f>650000+165000+150000+120000</f>
        <v>1085000</v>
      </c>
      <c r="I70" s="112">
        <v>206700</v>
      </c>
      <c r="J70" s="112"/>
      <c r="K70" s="110">
        <f t="shared" si="9"/>
        <v>0</v>
      </c>
      <c r="L70" s="110"/>
      <c r="M70" s="112"/>
      <c r="N70" s="110"/>
      <c r="O70" s="112"/>
      <c r="P70" s="112">
        <f t="shared" ref="P70:P73" si="17">L70</f>
        <v>0</v>
      </c>
      <c r="Q70" s="110">
        <f t="shared" si="1"/>
        <v>1703900</v>
      </c>
      <c r="R70" s="116"/>
      <c r="S70" s="116"/>
      <c r="T70" s="114"/>
    </row>
    <row r="71" spans="1:20" s="6" customFormat="1" ht="113.4"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499999999999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5"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499999999999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50000000000003"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2"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2"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2"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2" customHeight="1">
      <c r="A82" s="45" t="s">
        <v>148</v>
      </c>
      <c r="B82" s="45" t="s">
        <v>148</v>
      </c>
      <c r="C82" s="61"/>
      <c r="D82" s="71" t="s">
        <v>430</v>
      </c>
      <c r="E82" s="53" t="s">
        <v>31</v>
      </c>
      <c r="F82" s="107">
        <f>F83</f>
        <v>41905800</v>
      </c>
      <c r="G82" s="107">
        <f t="shared" ref="G82:P82" si="21">G83</f>
        <v>41905800</v>
      </c>
      <c r="H82" s="107">
        <f t="shared" si="21"/>
        <v>25670630</v>
      </c>
      <c r="I82" s="107">
        <f t="shared" si="21"/>
        <v>1619650</v>
      </c>
      <c r="J82" s="107">
        <f t="shared" si="21"/>
        <v>0</v>
      </c>
      <c r="K82" s="107">
        <f t="shared" si="21"/>
        <v>668000</v>
      </c>
      <c r="L82" s="107">
        <f t="shared" si="21"/>
        <v>433270</v>
      </c>
      <c r="M82" s="107">
        <f t="shared" si="21"/>
        <v>234730</v>
      </c>
      <c r="N82" s="107">
        <f t="shared" si="21"/>
        <v>169450</v>
      </c>
      <c r="O82" s="107">
        <f t="shared" si="21"/>
        <v>0</v>
      </c>
      <c r="P82" s="107">
        <f t="shared" si="21"/>
        <v>433270</v>
      </c>
      <c r="Q82" s="107">
        <f t="shared" si="1"/>
        <v>42573800</v>
      </c>
      <c r="R82" s="111"/>
      <c r="S82" s="119"/>
      <c r="T82" s="109"/>
    </row>
    <row r="83" spans="1:20" s="17" customFormat="1" ht="58.2" customHeight="1">
      <c r="A83" s="48" t="s">
        <v>149</v>
      </c>
      <c r="B83" s="48" t="s">
        <v>149</v>
      </c>
      <c r="C83" s="43"/>
      <c r="D83" s="72" t="str">
        <f>D82</f>
        <v>Управління  соціального захисту населення  міської ради</v>
      </c>
      <c r="E83" s="54"/>
      <c r="F83" s="110">
        <f>G83+J83</f>
        <v>41905800</v>
      </c>
      <c r="G83" s="110">
        <f>G84+G85+G86+G87+G88+G89+G90+G91+G92+G93+G94+G103+G105+G106+G107+G108+G109+G110+G111+G113+G114+G115+G116+G119+G118+G117+G112</f>
        <v>41905800</v>
      </c>
      <c r="H83" s="110">
        <f>H84+H85+H86+H87+H88+H89+H90+H91+H92+H93+H94+H103+H105+H106+H107+H108+H109+H110+H111+H113+H114+H115+H116+H119+H118+H117+H112</f>
        <v>25670630</v>
      </c>
      <c r="I83" s="110">
        <f t="shared" ref="I83:P83" si="22">I84+I85+I86+I87+I88+I89+I90+I91+I92+I93+I94+I103+I105+I106+I107+I108+I109+I110+I111+I113+I114+I115+I116+I119+I118+I117+I112</f>
        <v>1619650</v>
      </c>
      <c r="J83" s="110">
        <f t="shared" si="22"/>
        <v>0</v>
      </c>
      <c r="K83" s="110">
        <f t="shared" si="22"/>
        <v>668000</v>
      </c>
      <c r="L83" s="110">
        <f t="shared" si="22"/>
        <v>433270</v>
      </c>
      <c r="M83" s="110">
        <f t="shared" si="22"/>
        <v>234730</v>
      </c>
      <c r="N83" s="110">
        <f t="shared" si="22"/>
        <v>169450</v>
      </c>
      <c r="O83" s="110">
        <f t="shared" si="22"/>
        <v>0</v>
      </c>
      <c r="P83" s="110">
        <f t="shared" si="22"/>
        <v>433270</v>
      </c>
      <c r="Q83" s="110">
        <f t="shared" si="1"/>
        <v>42573800</v>
      </c>
      <c r="R83" s="119"/>
      <c r="S83" s="119"/>
      <c r="T83" s="109"/>
    </row>
    <row r="84" spans="1:20" s="6" customFormat="1" ht="82.2" customHeight="1">
      <c r="A84" s="43" t="s">
        <v>150</v>
      </c>
      <c r="B84" s="43" t="s">
        <v>317</v>
      </c>
      <c r="C84" s="43" t="s">
        <v>57</v>
      </c>
      <c r="D84" s="81" t="s">
        <v>454</v>
      </c>
      <c r="E84" s="70" t="s">
        <v>2</v>
      </c>
      <c r="F84" s="110">
        <f t="shared" si="3"/>
        <v>17890000</v>
      </c>
      <c r="G84" s="112">
        <f>17790000+100000</f>
        <v>17890000</v>
      </c>
      <c r="H84" s="112">
        <f>13727080+82000</f>
        <v>13809080</v>
      </c>
      <c r="I84" s="112">
        <v>546650</v>
      </c>
      <c r="J84" s="112"/>
      <c r="K84" s="112">
        <f>M84+P84</f>
        <v>0</v>
      </c>
      <c r="L84" s="112"/>
      <c r="M84" s="112"/>
      <c r="N84" s="112"/>
      <c r="O84" s="112"/>
      <c r="P84" s="112"/>
      <c r="Q84" s="112">
        <f>F84+K84</f>
        <v>17890000</v>
      </c>
      <c r="R84" s="116"/>
      <c r="S84" s="116"/>
      <c r="T84" s="114"/>
    </row>
    <row r="85" spans="1:20" s="6" customFormat="1" ht="49.95"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2"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5" customHeight="1">
      <c r="A92" s="43" t="s">
        <v>200</v>
      </c>
      <c r="B92" s="43" t="s">
        <v>353</v>
      </c>
      <c r="C92" s="43" t="s">
        <v>75</v>
      </c>
      <c r="D92" s="83" t="s">
        <v>202</v>
      </c>
      <c r="E92" s="70"/>
      <c r="F92" s="110">
        <f t="shared" si="25"/>
        <v>2000000</v>
      </c>
      <c r="G92" s="110">
        <f>1000000+1000000</f>
        <v>2000000</v>
      </c>
      <c r="H92" s="110"/>
      <c r="I92" s="110"/>
      <c r="J92" s="110"/>
      <c r="K92" s="110">
        <f t="shared" si="23"/>
        <v>0</v>
      </c>
      <c r="L92" s="110"/>
      <c r="M92" s="110"/>
      <c r="N92" s="110"/>
      <c r="O92" s="110"/>
      <c r="P92" s="110"/>
      <c r="Q92" s="110">
        <f>F92+K92</f>
        <v>2000000</v>
      </c>
      <c r="R92" s="119"/>
      <c r="S92" s="119"/>
      <c r="T92" s="109"/>
    </row>
    <row r="93" spans="1:20" s="17" customFormat="1" ht="84" customHeight="1">
      <c r="A93" s="43" t="s">
        <v>201</v>
      </c>
      <c r="B93" s="43" t="s">
        <v>354</v>
      </c>
      <c r="C93" s="43" t="s">
        <v>75</v>
      </c>
      <c r="D93" s="83" t="s">
        <v>507</v>
      </c>
      <c r="E93" s="70"/>
      <c r="F93" s="110">
        <f t="shared" si="25"/>
        <v>3500000</v>
      </c>
      <c r="G93" s="110">
        <f>1500000+2000000</f>
        <v>3500000</v>
      </c>
      <c r="H93" s="110"/>
      <c r="I93" s="110"/>
      <c r="J93" s="110"/>
      <c r="K93" s="110">
        <f t="shared" si="23"/>
        <v>0</v>
      </c>
      <c r="L93" s="110"/>
      <c r="M93" s="110"/>
      <c r="N93" s="110"/>
      <c r="O93" s="110"/>
      <c r="P93" s="110"/>
      <c r="Q93" s="110">
        <f>F93+K93</f>
        <v>3500000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5"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00000000000006"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2"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2" customHeight="1">
      <c r="A111" s="43" t="s">
        <v>167</v>
      </c>
      <c r="B111" s="43" t="s">
        <v>371</v>
      </c>
      <c r="C111" s="43" t="s">
        <v>78</v>
      </c>
      <c r="D111" s="44" t="s">
        <v>102</v>
      </c>
      <c r="E111" s="70" t="s">
        <v>53</v>
      </c>
      <c r="F111" s="110">
        <f t="shared" ref="F111:F116" si="30">G111+J111</f>
        <v>12297000</v>
      </c>
      <c r="G111" s="110">
        <f>11665000+347000+250000+35000</f>
        <v>12297000</v>
      </c>
      <c r="H111" s="112">
        <f>8239050+283000+195000</f>
        <v>8717050</v>
      </c>
      <c r="I111" s="112">
        <v>820300</v>
      </c>
      <c r="J111" s="112"/>
      <c r="K111" s="110">
        <f t="shared" si="28"/>
        <v>623000</v>
      </c>
      <c r="L111" s="110">
        <f>129000+259270</f>
        <v>388270</v>
      </c>
      <c r="M111" s="112">
        <v>234730</v>
      </c>
      <c r="N111" s="110">
        <v>169450</v>
      </c>
      <c r="O111" s="112"/>
      <c r="P111" s="112">
        <f>L111</f>
        <v>388270</v>
      </c>
      <c r="Q111" s="110">
        <f t="shared" si="27"/>
        <v>12920000</v>
      </c>
      <c r="R111" s="116"/>
      <c r="S111" s="116"/>
      <c r="T111" s="114"/>
    </row>
    <row r="112" spans="1:20" s="6" customFormat="1" ht="115.2"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4999999999999" customHeight="1">
      <c r="A113" s="43" t="s">
        <v>239</v>
      </c>
      <c r="B113" s="43" t="s">
        <v>372</v>
      </c>
      <c r="C113" s="43" t="s">
        <v>77</v>
      </c>
      <c r="D113" s="90" t="s">
        <v>240</v>
      </c>
      <c r="E113" s="84"/>
      <c r="F113" s="110">
        <f t="shared" si="30"/>
        <v>1020000</v>
      </c>
      <c r="G113" s="110">
        <f>270000+450000+300000</f>
        <v>1020000</v>
      </c>
      <c r="H113" s="112"/>
      <c r="I113" s="112"/>
      <c r="J113" s="112"/>
      <c r="K113" s="110">
        <f t="shared" si="28"/>
        <v>0</v>
      </c>
      <c r="L113" s="110"/>
      <c r="M113" s="112"/>
      <c r="N113" s="110"/>
      <c r="O113" s="112"/>
      <c r="P113" s="112"/>
      <c r="Q113" s="110">
        <f t="shared" si="27"/>
        <v>1020000</v>
      </c>
      <c r="R113" s="116"/>
      <c r="S113" s="116"/>
      <c r="T113" s="114"/>
    </row>
    <row r="114" spans="1:20" s="6" customFormat="1" ht="151.94999999999999" customHeight="1">
      <c r="A114" s="43" t="s">
        <v>212</v>
      </c>
      <c r="B114" s="43" t="s">
        <v>373</v>
      </c>
      <c r="C114" s="43" t="s">
        <v>76</v>
      </c>
      <c r="D114" s="44" t="s">
        <v>213</v>
      </c>
      <c r="E114" s="70" t="s">
        <v>3</v>
      </c>
      <c r="F114" s="110">
        <f t="shared" si="30"/>
        <v>201500</v>
      </c>
      <c r="G114" s="110">
        <v>201500</v>
      </c>
      <c r="H114" s="112"/>
      <c r="I114" s="112"/>
      <c r="J114" s="112"/>
      <c r="K114" s="110">
        <f t="shared" si="28"/>
        <v>0</v>
      </c>
      <c r="L114" s="110"/>
      <c r="M114" s="112"/>
      <c r="N114" s="110"/>
      <c r="O114" s="112"/>
      <c r="P114" s="112"/>
      <c r="Q114" s="110">
        <f t="shared" si="27"/>
        <v>201500</v>
      </c>
      <c r="R114" s="116"/>
      <c r="S114" s="116"/>
      <c r="T114" s="114"/>
    </row>
    <row r="115" spans="1:20" s="6" customFormat="1" ht="110.4"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2" customHeight="1">
      <c r="A116" s="43" t="s">
        <v>281</v>
      </c>
      <c r="B116" s="43" t="s">
        <v>375</v>
      </c>
      <c r="C116" s="43" t="s">
        <v>280</v>
      </c>
      <c r="D116" s="44" t="s">
        <v>279</v>
      </c>
      <c r="E116" s="70"/>
      <c r="F116" s="110">
        <f t="shared" si="30"/>
        <v>37000</v>
      </c>
      <c r="G116" s="110">
        <f>137000-100000</f>
        <v>37000</v>
      </c>
      <c r="H116" s="112">
        <f>112300-82000</f>
        <v>30300</v>
      </c>
      <c r="I116" s="112"/>
      <c r="J116" s="112"/>
      <c r="K116" s="110">
        <f t="shared" si="28"/>
        <v>0</v>
      </c>
      <c r="L116" s="110"/>
      <c r="M116" s="112"/>
      <c r="N116" s="110"/>
      <c r="O116" s="112"/>
      <c r="P116" s="112"/>
      <c r="Q116" s="110">
        <f t="shared" si="27"/>
        <v>37000</v>
      </c>
      <c r="R116" s="116"/>
      <c r="S116" s="116"/>
      <c r="T116" s="114"/>
    </row>
    <row r="117" spans="1:20" s="6" customFormat="1" ht="70.2" customHeight="1">
      <c r="A117" s="43" t="s">
        <v>232</v>
      </c>
      <c r="B117" s="43" t="s">
        <v>332</v>
      </c>
      <c r="C117" s="43" t="s">
        <v>62</v>
      </c>
      <c r="D117" s="83" t="s">
        <v>209</v>
      </c>
      <c r="E117" s="87"/>
      <c r="F117" s="110">
        <f>G117+J117</f>
        <v>271500</v>
      </c>
      <c r="G117" s="117">
        <f>121500+50000+100000</f>
        <v>271500</v>
      </c>
      <c r="H117" s="118"/>
      <c r="I117" s="118"/>
      <c r="J117" s="118"/>
      <c r="K117" s="110"/>
      <c r="L117" s="117"/>
      <c r="M117" s="118"/>
      <c r="N117" s="117"/>
      <c r="O117" s="118"/>
      <c r="P117" s="118"/>
      <c r="Q117" s="110">
        <f t="shared" si="27"/>
        <v>271500</v>
      </c>
      <c r="R117" s="116"/>
      <c r="S117" s="116"/>
      <c r="T117" s="114"/>
    </row>
    <row r="118" spans="1:20" s="6" customFormat="1" ht="79.95" customHeight="1">
      <c r="A118" s="43" t="s">
        <v>418</v>
      </c>
      <c r="B118" s="43" t="s">
        <v>410</v>
      </c>
      <c r="C118" s="43" t="s">
        <v>411</v>
      </c>
      <c r="D118" s="44" t="s">
        <v>412</v>
      </c>
      <c r="E118" s="87"/>
      <c r="F118" s="110">
        <f>G118+J118</f>
        <v>72600</v>
      </c>
      <c r="G118" s="117">
        <f>60000+12600+35000-35000</f>
        <v>72600</v>
      </c>
      <c r="H118" s="118"/>
      <c r="I118" s="118"/>
      <c r="J118" s="118"/>
      <c r="K118" s="110">
        <f t="shared" si="28"/>
        <v>45000</v>
      </c>
      <c r="L118" s="117">
        <f>55000+25000-35000</f>
        <v>45000</v>
      </c>
      <c r="M118" s="117"/>
      <c r="N118" s="117"/>
      <c r="O118" s="118"/>
      <c r="P118" s="118">
        <f>L118</f>
        <v>45000</v>
      </c>
      <c r="Q118" s="110">
        <f>F118+K118</f>
        <v>117600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36624090</v>
      </c>
      <c r="G120" s="107">
        <f t="shared" ref="G120:P120" si="31">G121</f>
        <v>36624090</v>
      </c>
      <c r="H120" s="107">
        <f t="shared" si="31"/>
        <v>24948700</v>
      </c>
      <c r="I120" s="107">
        <f t="shared" si="31"/>
        <v>4151500</v>
      </c>
      <c r="J120" s="107">
        <f t="shared" si="31"/>
        <v>0</v>
      </c>
      <c r="K120" s="107">
        <f t="shared" si="31"/>
        <v>904500</v>
      </c>
      <c r="L120" s="107">
        <f t="shared" si="31"/>
        <v>263500</v>
      </c>
      <c r="M120" s="107">
        <f t="shared" si="31"/>
        <v>641000</v>
      </c>
      <c r="N120" s="107">
        <f t="shared" si="31"/>
        <v>173100</v>
      </c>
      <c r="O120" s="107">
        <f t="shared" si="31"/>
        <v>0</v>
      </c>
      <c r="P120" s="107">
        <f t="shared" si="31"/>
        <v>263500</v>
      </c>
      <c r="Q120" s="107">
        <f>Q121</f>
        <v>37528590</v>
      </c>
      <c r="R120" s="111"/>
      <c r="S120" s="119"/>
      <c r="T120" s="109"/>
    </row>
    <row r="121" spans="1:20" s="35" customFormat="1" ht="62.4" customHeight="1">
      <c r="A121" s="48" t="s">
        <v>136</v>
      </c>
      <c r="B121" s="48" t="s">
        <v>376</v>
      </c>
      <c r="C121" s="43"/>
      <c r="D121" s="72" t="str">
        <f>D120</f>
        <v>Управління культури і туризму міської ради</v>
      </c>
      <c r="E121" s="54"/>
      <c r="F121" s="110">
        <f>SUM(F122:F132)</f>
        <v>36624090</v>
      </c>
      <c r="G121" s="110">
        <f t="shared" ref="G121:P121" si="32">SUM(G122:G132)</f>
        <v>36624090</v>
      </c>
      <c r="H121" s="110">
        <f t="shared" si="32"/>
        <v>24948700</v>
      </c>
      <c r="I121" s="110">
        <f t="shared" si="32"/>
        <v>4151500</v>
      </c>
      <c r="J121" s="110">
        <f t="shared" si="32"/>
        <v>0</v>
      </c>
      <c r="K121" s="110">
        <f t="shared" si="32"/>
        <v>904500</v>
      </c>
      <c r="L121" s="110">
        <f t="shared" si="32"/>
        <v>263500</v>
      </c>
      <c r="M121" s="110">
        <f t="shared" si="32"/>
        <v>641000</v>
      </c>
      <c r="N121" s="110">
        <f t="shared" si="32"/>
        <v>173100</v>
      </c>
      <c r="O121" s="110">
        <f t="shared" si="32"/>
        <v>0</v>
      </c>
      <c r="P121" s="110">
        <f t="shared" si="32"/>
        <v>263500</v>
      </c>
      <c r="Q121" s="110">
        <f t="shared" ref="Q121:Q182" si="33">F121+K121</f>
        <v>37528590</v>
      </c>
      <c r="R121" s="119"/>
      <c r="S121" s="119"/>
      <c r="T121" s="109"/>
    </row>
    <row r="122" spans="1:20" s="17" customFormat="1" ht="85.5" customHeight="1">
      <c r="A122" s="43" t="s">
        <v>170</v>
      </c>
      <c r="B122" s="43" t="s">
        <v>317</v>
      </c>
      <c r="C122" s="43" t="s">
        <v>57</v>
      </c>
      <c r="D122" s="81" t="s">
        <v>509</v>
      </c>
      <c r="E122" s="70" t="s">
        <v>2</v>
      </c>
      <c r="F122" s="110">
        <f t="shared" ref="F122:F132" si="34">G122+J122</f>
        <v>2255300</v>
      </c>
      <c r="G122" s="110">
        <v>2255300</v>
      </c>
      <c r="H122" s="112">
        <v>1790900</v>
      </c>
      <c r="I122" s="112">
        <f>42900+1600</f>
        <v>44500</v>
      </c>
      <c r="J122" s="112"/>
      <c r="K122" s="110">
        <f t="shared" ref="K122:K132" si="35">M122+P122</f>
        <v>10000</v>
      </c>
      <c r="L122" s="110"/>
      <c r="M122" s="112">
        <v>10000</v>
      </c>
      <c r="N122" s="110"/>
      <c r="O122" s="112"/>
      <c r="P122" s="112">
        <f>L122</f>
        <v>0</v>
      </c>
      <c r="Q122" s="110">
        <f t="shared" si="33"/>
        <v>2265300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 customHeight="1">
      <c r="A124" s="43" t="s">
        <v>472</v>
      </c>
      <c r="B124" s="43" t="s">
        <v>473</v>
      </c>
      <c r="C124" s="59" t="s">
        <v>71</v>
      </c>
      <c r="D124" s="85" t="s">
        <v>530</v>
      </c>
      <c r="E124" s="88"/>
      <c r="F124" s="123">
        <f>G124+J124</f>
        <v>19459600</v>
      </c>
      <c r="G124" s="110">
        <f>18235600+824000+400000</f>
        <v>19459600</v>
      </c>
      <c r="H124" s="112">
        <f>13466900+630000+330000</f>
        <v>14426900</v>
      </c>
      <c r="I124" s="112">
        <v>1742800</v>
      </c>
      <c r="J124" s="112"/>
      <c r="K124" s="110">
        <f>M124+P124</f>
        <v>619500</v>
      </c>
      <c r="L124" s="110">
        <v>119500</v>
      </c>
      <c r="M124" s="112">
        <v>500000</v>
      </c>
      <c r="N124" s="110">
        <v>150100</v>
      </c>
      <c r="O124" s="112"/>
      <c r="P124" s="112">
        <f>L124</f>
        <v>119500</v>
      </c>
      <c r="Q124" s="110">
        <f>F124+K124</f>
        <v>20079100</v>
      </c>
      <c r="R124" s="119"/>
      <c r="S124" s="119"/>
      <c r="T124" s="109"/>
    </row>
    <row r="125" spans="1:20" s="17" customFormat="1" ht="37.200000000000003" customHeight="1">
      <c r="A125" s="43" t="s">
        <v>171</v>
      </c>
      <c r="B125" s="43" t="s">
        <v>377</v>
      </c>
      <c r="C125" s="43" t="s">
        <v>103</v>
      </c>
      <c r="D125" s="44" t="s">
        <v>172</v>
      </c>
      <c r="E125" s="70" t="s">
        <v>9</v>
      </c>
      <c r="F125" s="110">
        <f t="shared" si="34"/>
        <v>5120290</v>
      </c>
      <c r="G125" s="110">
        <f>4729300+100000+150000+140990</f>
        <v>5120290</v>
      </c>
      <c r="H125" s="112">
        <f>2993700+100000+120000</f>
        <v>3213700</v>
      </c>
      <c r="I125" s="112">
        <v>989400</v>
      </c>
      <c r="J125" s="112"/>
      <c r="K125" s="110">
        <f t="shared" si="35"/>
        <v>65000</v>
      </c>
      <c r="L125" s="110">
        <v>49000</v>
      </c>
      <c r="M125" s="110">
        <v>16000</v>
      </c>
      <c r="N125" s="112"/>
      <c r="O125" s="112"/>
      <c r="P125" s="112">
        <f>L125</f>
        <v>49000</v>
      </c>
      <c r="Q125" s="110">
        <f t="shared" si="33"/>
        <v>5185290</v>
      </c>
      <c r="R125" s="119"/>
      <c r="S125" s="119"/>
      <c r="T125" s="109"/>
    </row>
    <row r="126" spans="1:20" s="17" customFormat="1" ht="66.599999999999994" customHeight="1">
      <c r="A126" s="43" t="s">
        <v>173</v>
      </c>
      <c r="B126" s="43" t="s">
        <v>378</v>
      </c>
      <c r="C126" s="43" t="s">
        <v>103</v>
      </c>
      <c r="D126" s="44" t="s">
        <v>174</v>
      </c>
      <c r="E126" s="70" t="s">
        <v>10</v>
      </c>
      <c r="F126" s="110">
        <f t="shared" si="34"/>
        <v>4723900</v>
      </c>
      <c r="G126" s="110">
        <f>3856900+195000+10000+140000+260000+52000-60000+270000</f>
        <v>4723900</v>
      </c>
      <c r="H126" s="112">
        <f>2434000+300000+230000</f>
        <v>2964000</v>
      </c>
      <c r="I126" s="112">
        <f>712200+4000</f>
        <v>716200</v>
      </c>
      <c r="J126" s="112"/>
      <c r="K126" s="110">
        <f t="shared" si="35"/>
        <v>70000</v>
      </c>
      <c r="L126" s="110"/>
      <c r="M126" s="110">
        <v>70000</v>
      </c>
      <c r="N126" s="112">
        <v>20000</v>
      </c>
      <c r="O126" s="112"/>
      <c r="P126" s="112"/>
      <c r="Q126" s="110">
        <f t="shared" si="33"/>
        <v>4793900</v>
      </c>
      <c r="R126" s="119"/>
      <c r="S126" s="119"/>
      <c r="T126" s="109"/>
    </row>
    <row r="127" spans="1:20" s="17" customFormat="1" ht="87" customHeight="1">
      <c r="A127" s="43" t="s">
        <v>176</v>
      </c>
      <c r="B127" s="43" t="s">
        <v>379</v>
      </c>
      <c r="C127" s="43" t="s">
        <v>81</v>
      </c>
      <c r="D127" s="44" t="s">
        <v>175</v>
      </c>
      <c r="E127" s="70" t="s">
        <v>11</v>
      </c>
      <c r="F127" s="110">
        <f t="shared" si="34"/>
        <v>2664800</v>
      </c>
      <c r="G127" s="110">
        <v>2664800</v>
      </c>
      <c r="H127" s="112">
        <v>1567000</v>
      </c>
      <c r="I127" s="112">
        <v>610600</v>
      </c>
      <c r="J127" s="112"/>
      <c r="K127" s="110">
        <f t="shared" si="35"/>
        <v>94000</v>
      </c>
      <c r="L127" s="110">
        <v>49000</v>
      </c>
      <c r="M127" s="110">
        <v>45000</v>
      </c>
      <c r="N127" s="112">
        <v>3000</v>
      </c>
      <c r="O127" s="112"/>
      <c r="P127" s="112">
        <f>L127</f>
        <v>49000</v>
      </c>
      <c r="Q127" s="110">
        <f t="shared" si="33"/>
        <v>2758800</v>
      </c>
      <c r="R127" s="119"/>
      <c r="S127" s="119"/>
      <c r="T127" s="109"/>
    </row>
    <row r="128" spans="1:20" s="17" customFormat="1" ht="58.2" customHeight="1">
      <c r="A128" s="43" t="s">
        <v>215</v>
      </c>
      <c r="B128" s="43" t="s">
        <v>380</v>
      </c>
      <c r="C128" s="43" t="s">
        <v>80</v>
      </c>
      <c r="D128" s="44" t="s">
        <v>216</v>
      </c>
      <c r="E128" s="70"/>
      <c r="F128" s="110">
        <f t="shared" si="34"/>
        <v>1337100</v>
      </c>
      <c r="G128" s="110">
        <v>1337100</v>
      </c>
      <c r="H128" s="112">
        <v>986200</v>
      </c>
      <c r="I128" s="112">
        <v>48000</v>
      </c>
      <c r="J128" s="112"/>
      <c r="K128" s="110">
        <f t="shared" si="35"/>
        <v>0</v>
      </c>
      <c r="L128" s="110"/>
      <c r="M128" s="112"/>
      <c r="N128" s="110"/>
      <c r="O128" s="112"/>
      <c r="P128" s="112"/>
      <c r="Q128" s="110">
        <f t="shared" si="33"/>
        <v>1337100</v>
      </c>
      <c r="R128" s="119"/>
      <c r="S128" s="119"/>
      <c r="T128" s="109"/>
    </row>
    <row r="129" spans="1:20" s="17" customFormat="1" ht="55.95" customHeight="1">
      <c r="A129" s="43" t="s">
        <v>217</v>
      </c>
      <c r="B129" s="43" t="s">
        <v>381</v>
      </c>
      <c r="C129" s="43" t="s">
        <v>80</v>
      </c>
      <c r="D129" s="44" t="s">
        <v>218</v>
      </c>
      <c r="E129" s="70"/>
      <c r="F129" s="110">
        <f t="shared" si="34"/>
        <v>831400</v>
      </c>
      <c r="G129" s="110">
        <f>603800+232000+400000+46500-450900</f>
        <v>831400</v>
      </c>
      <c r="H129" s="112"/>
      <c r="I129" s="112"/>
      <c r="J129" s="112"/>
      <c r="K129" s="110">
        <f t="shared" si="35"/>
        <v>0</v>
      </c>
      <c r="L129" s="110"/>
      <c r="M129" s="112"/>
      <c r="N129" s="110"/>
      <c r="O129" s="112"/>
      <c r="P129" s="112">
        <f>L129</f>
        <v>0</v>
      </c>
      <c r="Q129" s="110">
        <f t="shared" si="33"/>
        <v>831400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206700+20000+65000+16600-85000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5" customHeight="1">
      <c r="A133" s="45" t="s">
        <v>142</v>
      </c>
      <c r="B133" s="45" t="s">
        <v>142</v>
      </c>
      <c r="C133" s="61"/>
      <c r="D133" s="71" t="s">
        <v>39</v>
      </c>
      <c r="E133" s="75"/>
      <c r="F133" s="107">
        <f>F134</f>
        <v>21761900</v>
      </c>
      <c r="G133" s="107">
        <f t="shared" ref="G133:P133" si="36">G134</f>
        <v>21761900</v>
      </c>
      <c r="H133" s="107">
        <f t="shared" si="36"/>
        <v>10703000</v>
      </c>
      <c r="I133" s="124">
        <f t="shared" si="36"/>
        <v>1202400</v>
      </c>
      <c r="J133" s="107">
        <f t="shared" si="36"/>
        <v>0</v>
      </c>
      <c r="K133" s="107">
        <f t="shared" si="36"/>
        <v>888000</v>
      </c>
      <c r="L133" s="107">
        <f t="shared" si="36"/>
        <v>800000</v>
      </c>
      <c r="M133" s="107">
        <f t="shared" si="36"/>
        <v>88000</v>
      </c>
      <c r="N133" s="107">
        <f t="shared" si="36"/>
        <v>59000</v>
      </c>
      <c r="O133" s="107">
        <f t="shared" si="36"/>
        <v>0</v>
      </c>
      <c r="P133" s="107">
        <f t="shared" si="36"/>
        <v>800000</v>
      </c>
      <c r="Q133" s="107">
        <f t="shared" si="33"/>
        <v>22649900</v>
      </c>
      <c r="R133" s="111"/>
      <c r="S133" s="119"/>
      <c r="T133" s="109"/>
    </row>
    <row r="134" spans="1:20" s="17" customFormat="1" ht="52.95"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21761900</v>
      </c>
      <c r="G134" s="110">
        <f t="shared" si="37"/>
        <v>21761900</v>
      </c>
      <c r="H134" s="110">
        <f t="shared" si="37"/>
        <v>10703000</v>
      </c>
      <c r="I134" s="110">
        <f t="shared" si="37"/>
        <v>1202400</v>
      </c>
      <c r="J134" s="110">
        <f t="shared" si="37"/>
        <v>0</v>
      </c>
      <c r="K134" s="110">
        <f t="shared" si="37"/>
        <v>888000</v>
      </c>
      <c r="L134" s="110">
        <f>SUM(L135:L144)</f>
        <v>800000</v>
      </c>
      <c r="M134" s="110">
        <f t="shared" si="37"/>
        <v>88000</v>
      </c>
      <c r="N134" s="110">
        <f t="shared" si="37"/>
        <v>59000</v>
      </c>
      <c r="O134" s="110">
        <f t="shared" si="37"/>
        <v>0</v>
      </c>
      <c r="P134" s="110">
        <f t="shared" si="37"/>
        <v>800000</v>
      </c>
      <c r="Q134" s="110">
        <f t="shared" si="33"/>
        <v>22649900</v>
      </c>
      <c r="R134" s="119"/>
      <c r="S134" s="119"/>
      <c r="T134" s="109"/>
    </row>
    <row r="135" spans="1:20" s="17" customFormat="1" ht="85.2" customHeight="1">
      <c r="A135" s="43" t="s">
        <v>144</v>
      </c>
      <c r="B135" s="43" t="s">
        <v>317</v>
      </c>
      <c r="C135" s="43" t="s">
        <v>57</v>
      </c>
      <c r="D135" s="81" t="s">
        <v>509</v>
      </c>
      <c r="E135" s="70"/>
      <c r="F135" s="110">
        <f t="shared" ref="F135:F144" si="38">G135+J135</f>
        <v>1480700</v>
      </c>
      <c r="G135" s="110">
        <v>1480700</v>
      </c>
      <c r="H135" s="112">
        <v>1173200</v>
      </c>
      <c r="I135" s="112">
        <v>33300</v>
      </c>
      <c r="J135" s="112"/>
      <c r="K135" s="110">
        <f>M135+P135</f>
        <v>0</v>
      </c>
      <c r="L135" s="110"/>
      <c r="M135" s="112"/>
      <c r="N135" s="110"/>
      <c r="O135" s="112"/>
      <c r="P135" s="112">
        <f>L135</f>
        <v>0</v>
      </c>
      <c r="Q135" s="110">
        <f t="shared" si="33"/>
        <v>1480700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5" customHeight="1">
      <c r="A137" s="43" t="s">
        <v>193</v>
      </c>
      <c r="B137" s="43" t="s">
        <v>382</v>
      </c>
      <c r="C137" s="43" t="s">
        <v>73</v>
      </c>
      <c r="D137" s="44" t="s">
        <v>89</v>
      </c>
      <c r="E137" s="70"/>
      <c r="F137" s="110">
        <f t="shared" si="38"/>
        <v>965000</v>
      </c>
      <c r="G137" s="110">
        <v>965000</v>
      </c>
      <c r="H137" s="112"/>
      <c r="I137" s="112">
        <v>0</v>
      </c>
      <c r="J137" s="112"/>
      <c r="K137" s="110">
        <f t="shared" ref="K137:K144" si="39">M137+P137</f>
        <v>0</v>
      </c>
      <c r="L137" s="110"/>
      <c r="M137" s="112"/>
      <c r="N137" s="110"/>
      <c r="O137" s="112"/>
      <c r="P137" s="112">
        <f>L137</f>
        <v>0</v>
      </c>
      <c r="Q137" s="110">
        <f t="shared" si="33"/>
        <v>965000</v>
      </c>
      <c r="R137" s="119"/>
      <c r="S137" s="119"/>
      <c r="T137" s="109"/>
    </row>
    <row r="138" spans="1:20" s="17" customFormat="1" ht="56.4" customHeight="1">
      <c r="A138" s="43" t="s">
        <v>145</v>
      </c>
      <c r="B138" s="43" t="s">
        <v>383</v>
      </c>
      <c r="C138" s="43" t="s">
        <v>73</v>
      </c>
      <c r="D138" s="44" t="s">
        <v>90</v>
      </c>
      <c r="E138" s="70"/>
      <c r="F138" s="110">
        <f t="shared" si="38"/>
        <v>214000</v>
      </c>
      <c r="G138" s="110">
        <v>214000</v>
      </c>
      <c r="H138" s="112"/>
      <c r="I138" s="112"/>
      <c r="J138" s="112"/>
      <c r="K138" s="110">
        <f t="shared" si="39"/>
        <v>0</v>
      </c>
      <c r="L138" s="110"/>
      <c r="M138" s="112"/>
      <c r="N138" s="110"/>
      <c r="O138" s="112"/>
      <c r="P138" s="112">
        <f>L138</f>
        <v>0</v>
      </c>
      <c r="Q138" s="110">
        <f t="shared" si="33"/>
        <v>214000</v>
      </c>
      <c r="R138" s="119"/>
      <c r="S138" s="119"/>
      <c r="T138" s="109"/>
    </row>
    <row r="139" spans="1:20" s="17" customFormat="1" ht="78.599999999999994" customHeight="1">
      <c r="A139" s="43" t="s">
        <v>445</v>
      </c>
      <c r="B139" s="43" t="s">
        <v>344</v>
      </c>
      <c r="C139" s="59" t="s">
        <v>73</v>
      </c>
      <c r="D139" s="92" t="s">
        <v>88</v>
      </c>
      <c r="E139" s="70"/>
      <c r="F139" s="125">
        <f t="shared" si="38"/>
        <v>13115000</v>
      </c>
      <c r="G139" s="125">
        <f>9775000+180000+2500000+100000+330000+230000</f>
        <v>13115000</v>
      </c>
      <c r="H139" s="126">
        <f>6944800+270000+188000</f>
        <v>7402800</v>
      </c>
      <c r="I139" s="126">
        <f>637100+100000</f>
        <v>737100</v>
      </c>
      <c r="J139" s="112"/>
      <c r="K139" s="110">
        <f t="shared" si="39"/>
        <v>0</v>
      </c>
      <c r="L139" s="110"/>
      <c r="M139" s="112"/>
      <c r="N139" s="110"/>
      <c r="O139" s="112"/>
      <c r="P139" s="112"/>
      <c r="Q139" s="125">
        <f t="shared" si="33"/>
        <v>13115000</v>
      </c>
      <c r="R139" s="119"/>
      <c r="S139" s="119"/>
      <c r="T139" s="109"/>
    </row>
    <row r="140" spans="1:20" s="17" customFormat="1" ht="82.95" customHeight="1">
      <c r="A140" s="43" t="s">
        <v>147</v>
      </c>
      <c r="B140" s="43" t="s">
        <v>384</v>
      </c>
      <c r="C140" s="43" t="s">
        <v>73</v>
      </c>
      <c r="D140" s="44" t="s">
        <v>91</v>
      </c>
      <c r="E140" s="70"/>
      <c r="F140" s="110">
        <f t="shared" si="38"/>
        <v>2201500</v>
      </c>
      <c r="G140" s="110">
        <f>1625500+236000+200000+140000</f>
        <v>2201500</v>
      </c>
      <c r="H140" s="112"/>
      <c r="I140" s="112"/>
      <c r="J140" s="112"/>
      <c r="K140" s="110">
        <f t="shared" si="39"/>
        <v>0</v>
      </c>
      <c r="L140" s="110"/>
      <c r="M140" s="112"/>
      <c r="N140" s="110"/>
      <c r="O140" s="112"/>
      <c r="P140" s="112"/>
      <c r="Q140" s="110">
        <f t="shared" si="33"/>
        <v>2201500</v>
      </c>
      <c r="R140" s="119"/>
      <c r="S140" s="119"/>
      <c r="T140" s="109"/>
    </row>
    <row r="141" spans="1:20" s="17" customFormat="1" ht="112.2" customHeight="1">
      <c r="A141" s="43" t="s">
        <v>146</v>
      </c>
      <c r="B141" s="43" t="s">
        <v>385</v>
      </c>
      <c r="C141" s="43" t="s">
        <v>73</v>
      </c>
      <c r="D141" s="44" t="s">
        <v>275</v>
      </c>
      <c r="E141" s="93"/>
      <c r="F141" s="110">
        <f t="shared" si="38"/>
        <v>3754300</v>
      </c>
      <c r="G141" s="110">
        <f>2849300+300000+80000+81000+390500+399900+399750+105000-1271150+213726+206274</f>
        <v>3754300</v>
      </c>
      <c r="H141" s="112">
        <f>2010000+117000</f>
        <v>2127000</v>
      </c>
      <c r="I141" s="112">
        <f>252000+180000</f>
        <v>432000</v>
      </c>
      <c r="J141" s="112"/>
      <c r="K141" s="110">
        <f t="shared" si="39"/>
        <v>888000</v>
      </c>
      <c r="L141" s="110">
        <f>420000+800000+76500-76500-213726-206274</f>
        <v>800000</v>
      </c>
      <c r="M141" s="112">
        <v>88000</v>
      </c>
      <c r="N141" s="110">
        <v>59000</v>
      </c>
      <c r="O141" s="112"/>
      <c r="P141" s="112">
        <f>L141</f>
        <v>800000</v>
      </c>
      <c r="Q141" s="110">
        <f>F141+K141</f>
        <v>4642300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5" customHeight="1">
      <c r="A145" s="45" t="s">
        <v>177</v>
      </c>
      <c r="B145" s="45" t="s">
        <v>177</v>
      </c>
      <c r="C145" s="45"/>
      <c r="D145" s="71" t="s">
        <v>32</v>
      </c>
      <c r="E145" s="76" t="s">
        <v>32</v>
      </c>
      <c r="F145" s="107">
        <f>F146</f>
        <v>112604078.09</v>
      </c>
      <c r="G145" s="107">
        <f>G146</f>
        <v>74288104.50999999</v>
      </c>
      <c r="H145" s="107">
        <f>H146</f>
        <v>5102880</v>
      </c>
      <c r="I145" s="107">
        <f>I146</f>
        <v>9126562.5099999998</v>
      </c>
      <c r="J145" s="107">
        <f t="shared" ref="J145:P145" si="42">J146</f>
        <v>38315973.579999998</v>
      </c>
      <c r="K145" s="107">
        <f t="shared" si="42"/>
        <v>29036902.350000001</v>
      </c>
      <c r="L145" s="107">
        <f t="shared" si="42"/>
        <v>28340204</v>
      </c>
      <c r="M145" s="107">
        <f t="shared" si="42"/>
        <v>576698.35</v>
      </c>
      <c r="N145" s="107">
        <f t="shared" si="42"/>
        <v>0</v>
      </c>
      <c r="O145" s="107">
        <f t="shared" si="42"/>
        <v>0</v>
      </c>
      <c r="P145" s="107">
        <f t="shared" si="42"/>
        <v>28460204</v>
      </c>
      <c r="Q145" s="107">
        <f t="shared" si="33"/>
        <v>141640980.44</v>
      </c>
      <c r="R145" s="119"/>
      <c r="S145" s="119"/>
      <c r="T145" s="109"/>
    </row>
    <row r="146" spans="1:20" s="18" customFormat="1" ht="79.95"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112604078.09</v>
      </c>
      <c r="G146" s="127">
        <f>SUM(G147:G182)</f>
        <v>74288104.50999999</v>
      </c>
      <c r="H146" s="127">
        <f t="shared" si="43"/>
        <v>5102880</v>
      </c>
      <c r="I146" s="127">
        <f t="shared" si="43"/>
        <v>9126562.5099999998</v>
      </c>
      <c r="J146" s="127">
        <f t="shared" si="43"/>
        <v>38315973.579999998</v>
      </c>
      <c r="K146" s="127">
        <f>SUM(K147:K181)+K182</f>
        <v>29036902.350000001</v>
      </c>
      <c r="L146" s="127">
        <f>SUM(L147:L181)+L182</f>
        <v>28340204</v>
      </c>
      <c r="M146" s="127">
        <f t="shared" si="43"/>
        <v>576698.35</v>
      </c>
      <c r="N146" s="127">
        <f t="shared" si="43"/>
        <v>0</v>
      </c>
      <c r="O146" s="127">
        <f t="shared" si="43"/>
        <v>0</v>
      </c>
      <c r="P146" s="127">
        <f>SUM(P147:P181)+P182</f>
        <v>28460204</v>
      </c>
      <c r="Q146" s="110">
        <f t="shared" si="33"/>
        <v>141640980.44</v>
      </c>
      <c r="R146" s="128"/>
      <c r="S146" s="128"/>
      <c r="T146" s="129"/>
    </row>
    <row r="147" spans="1:20" s="6" customFormat="1" ht="84" customHeight="1">
      <c r="A147" s="43" t="s">
        <v>179</v>
      </c>
      <c r="B147" s="43" t="s">
        <v>317</v>
      </c>
      <c r="C147" s="43" t="s">
        <v>57</v>
      </c>
      <c r="D147" s="81" t="s">
        <v>454</v>
      </c>
      <c r="E147" s="70" t="s">
        <v>2</v>
      </c>
      <c r="F147" s="110">
        <f t="shared" ref="F147:F182" si="44">G147+J147</f>
        <v>6686480</v>
      </c>
      <c r="G147" s="110">
        <f>6646480+40000</f>
        <v>6686480</v>
      </c>
      <c r="H147" s="112">
        <v>5102880</v>
      </c>
      <c r="I147" s="112">
        <v>183600</v>
      </c>
      <c r="J147" s="112"/>
      <c r="K147" s="110">
        <f t="shared" ref="K147:K182" si="45">M147+P147</f>
        <v>240000</v>
      </c>
      <c r="L147" s="110"/>
      <c r="M147" s="126">
        <v>120000</v>
      </c>
      <c r="N147" s="110"/>
      <c r="O147" s="112"/>
      <c r="P147" s="112">
        <v>120000</v>
      </c>
      <c r="Q147" s="110">
        <f t="shared" si="33"/>
        <v>6926480</v>
      </c>
      <c r="R147" s="116"/>
      <c r="S147" s="116"/>
      <c r="T147" s="114"/>
    </row>
    <row r="148" spans="1:20" s="6" customFormat="1" ht="51.6" customHeight="1">
      <c r="A148" s="43" t="s">
        <v>259</v>
      </c>
      <c r="B148" s="43" t="s">
        <v>257</v>
      </c>
      <c r="C148" s="43" t="s">
        <v>68</v>
      </c>
      <c r="D148" s="81" t="s">
        <v>131</v>
      </c>
      <c r="E148" s="70"/>
      <c r="F148" s="110">
        <f t="shared" si="44"/>
        <v>15000</v>
      </c>
      <c r="G148" s="110">
        <f>15000</f>
        <v>15000</v>
      </c>
      <c r="H148" s="112"/>
      <c r="I148" s="112"/>
      <c r="J148" s="112"/>
      <c r="K148" s="110">
        <f t="shared" si="45"/>
        <v>0</v>
      </c>
      <c r="L148" s="110"/>
      <c r="M148" s="112"/>
      <c r="N148" s="110"/>
      <c r="O148" s="112"/>
      <c r="P148" s="112"/>
      <c r="Q148" s="110">
        <f t="shared" si="33"/>
        <v>15000</v>
      </c>
      <c r="R148" s="116"/>
      <c r="S148" s="116"/>
      <c r="T148" s="114"/>
    </row>
    <row r="149" spans="1:20" s="6" customFormat="1" ht="52.2" customHeight="1">
      <c r="A149" s="43" t="s">
        <v>282</v>
      </c>
      <c r="B149" s="43" t="s">
        <v>375</v>
      </c>
      <c r="C149" s="43" t="s">
        <v>280</v>
      </c>
      <c r="D149" s="44" t="s">
        <v>279</v>
      </c>
      <c r="E149" s="70"/>
      <c r="F149" s="110">
        <f t="shared" si="44"/>
        <v>100000</v>
      </c>
      <c r="G149" s="110">
        <f>100000</f>
        <v>100000</v>
      </c>
      <c r="H149" s="112"/>
      <c r="I149" s="112"/>
      <c r="J149" s="112"/>
      <c r="K149" s="110">
        <f t="shared" si="45"/>
        <v>0</v>
      </c>
      <c r="L149" s="110"/>
      <c r="M149" s="112"/>
      <c r="N149" s="110"/>
      <c r="O149" s="112"/>
      <c r="P149" s="112"/>
      <c r="Q149" s="110">
        <f t="shared" si="33"/>
        <v>100000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200000000000003"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200000000000003"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2" customHeight="1">
      <c r="A154" s="63">
        <v>1216011</v>
      </c>
      <c r="B154" s="43" t="s">
        <v>388</v>
      </c>
      <c r="C154" s="43" t="s">
        <v>286</v>
      </c>
      <c r="D154" s="83" t="s">
        <v>444</v>
      </c>
      <c r="E154" s="70"/>
      <c r="F154" s="110">
        <f t="shared" si="44"/>
        <v>360000</v>
      </c>
      <c r="G154" s="110">
        <v>360000</v>
      </c>
      <c r="H154" s="112"/>
      <c r="I154" s="112"/>
      <c r="J154" s="112"/>
      <c r="K154" s="110">
        <f t="shared" si="45"/>
        <v>860196</v>
      </c>
      <c r="L154" s="110">
        <f>1700000+1600000-140804-1934000-65000-300000</f>
        <v>860196</v>
      </c>
      <c r="M154" s="112"/>
      <c r="N154" s="110"/>
      <c r="O154" s="112"/>
      <c r="P154" s="112">
        <f>L154</f>
        <v>860196</v>
      </c>
      <c r="Q154" s="110">
        <f t="shared" si="33"/>
        <v>1220196</v>
      </c>
      <c r="R154" s="116"/>
      <c r="S154" s="116"/>
      <c r="T154" s="114"/>
    </row>
    <row r="155" spans="1:20" s="6" customFormat="1" ht="47.4"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2"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200000000000003"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1112100</v>
      </c>
      <c r="G158" s="110"/>
      <c r="H158" s="112"/>
      <c r="I158" s="112"/>
      <c r="J158" s="112">
        <f>348100+500000+87000+177000</f>
        <v>1112100</v>
      </c>
      <c r="K158" s="110">
        <f t="shared" si="45"/>
        <v>0</v>
      </c>
      <c r="L158" s="110"/>
      <c r="M158" s="112"/>
      <c r="N158" s="110"/>
      <c r="O158" s="112"/>
      <c r="P158" s="112">
        <f>L158</f>
        <v>0</v>
      </c>
      <c r="Q158" s="110">
        <f t="shared" si="33"/>
        <v>1112100</v>
      </c>
      <c r="R158" s="116"/>
      <c r="S158" s="116"/>
      <c r="T158" s="114"/>
    </row>
    <row r="159" spans="1:20" s="6" customFormat="1" ht="51" customHeight="1">
      <c r="A159" s="43" t="s">
        <v>181</v>
      </c>
      <c r="B159" s="43" t="s">
        <v>392</v>
      </c>
      <c r="C159" s="43" t="s">
        <v>64</v>
      </c>
      <c r="D159" s="44" t="s">
        <v>182</v>
      </c>
      <c r="E159" s="70" t="s">
        <v>44</v>
      </c>
      <c r="F159" s="110">
        <f t="shared" si="44"/>
        <v>42638512.509999998</v>
      </c>
      <c r="G159" s="110">
        <f>18810000+67000+99900+99000+96913+95480+99000+99700+99000+399950-49000-79900+30000+2432962.51+198000+1584057-1000000-212000+300000</f>
        <v>23170062.509999998</v>
      </c>
      <c r="H159" s="112"/>
      <c r="I159" s="112">
        <f>6500000+10000+2432962.51</f>
        <v>8942962.5099999998</v>
      </c>
      <c r="J159" s="112">
        <f>11500000+3500000+4256450+212000</f>
        <v>19468450</v>
      </c>
      <c r="K159" s="110">
        <f t="shared" si="45"/>
        <v>1725513.12</v>
      </c>
      <c r="L159" s="110">
        <f>411000+89000+49000+49900+70000+1053127</f>
        <v>1722027</v>
      </c>
      <c r="M159" s="112">
        <v>3486.12</v>
      </c>
      <c r="N159" s="110"/>
      <c r="O159" s="112"/>
      <c r="P159" s="112">
        <f>L159</f>
        <v>1722027</v>
      </c>
      <c r="Q159" s="110">
        <f t="shared" si="33"/>
        <v>44364025.629999995</v>
      </c>
      <c r="R159" s="116"/>
      <c r="S159" s="116"/>
      <c r="T159" s="114"/>
    </row>
    <row r="160" spans="1:20" s="6" customFormat="1" ht="111" customHeight="1">
      <c r="A160" s="43" t="s">
        <v>524</v>
      </c>
      <c r="B160" s="43" t="s">
        <v>525</v>
      </c>
      <c r="C160" s="43" t="s">
        <v>526</v>
      </c>
      <c r="D160" s="104" t="s">
        <v>527</v>
      </c>
      <c r="E160" s="70"/>
      <c r="F160" s="110">
        <f t="shared" si="44"/>
        <v>17303533.579999998</v>
      </c>
      <c r="G160" s="110"/>
      <c r="H160" s="112"/>
      <c r="I160" s="112"/>
      <c r="J160" s="112">
        <f>5000000+10303533.58+2000000</f>
        <v>17303533.579999998</v>
      </c>
      <c r="K160" s="110"/>
      <c r="L160" s="110"/>
      <c r="M160" s="112"/>
      <c r="N160" s="110"/>
      <c r="O160" s="112"/>
      <c r="P160" s="112"/>
      <c r="Q160" s="110">
        <f t="shared" si="33"/>
        <v>17303533.579999998</v>
      </c>
      <c r="R160" s="116"/>
      <c r="S160" s="116"/>
      <c r="T160" s="114"/>
    </row>
    <row r="161" spans="1:20" s="17" customFormat="1" ht="41.4" customHeight="1">
      <c r="A161" s="98">
        <v>1217130</v>
      </c>
      <c r="B161" s="59" t="s">
        <v>334</v>
      </c>
      <c r="C161" s="59" t="s">
        <v>66</v>
      </c>
      <c r="D161" s="96" t="s">
        <v>110</v>
      </c>
      <c r="E161" s="99"/>
      <c r="F161" s="123">
        <f t="shared" si="44"/>
        <v>0</v>
      </c>
      <c r="G161" s="110">
        <f>70000-70000</f>
        <v>0</v>
      </c>
      <c r="H161" s="130"/>
      <c r="I161" s="130"/>
      <c r="J161" s="110"/>
      <c r="K161" s="110">
        <f t="shared" si="45"/>
        <v>0</v>
      </c>
      <c r="L161" s="110"/>
      <c r="M161" s="110"/>
      <c r="N161" s="110"/>
      <c r="O161" s="110"/>
      <c r="P161" s="110"/>
      <c r="Q161" s="110">
        <f t="shared" si="33"/>
        <v>0</v>
      </c>
      <c r="R161" s="119"/>
      <c r="S161" s="119"/>
      <c r="T161" s="109"/>
    </row>
    <row r="162" spans="1:20" s="6" customFormat="1" ht="34.950000000000003"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 customHeight="1">
      <c r="A164" s="43" t="s">
        <v>243</v>
      </c>
      <c r="B164" s="43" t="s">
        <v>395</v>
      </c>
      <c r="C164" s="43" t="s">
        <v>79</v>
      </c>
      <c r="D164" s="82" t="s">
        <v>516</v>
      </c>
      <c r="E164" s="70"/>
      <c r="F164" s="110">
        <f t="shared" si="44"/>
        <v>0</v>
      </c>
      <c r="G164" s="110"/>
      <c r="H164" s="112"/>
      <c r="I164" s="112"/>
      <c r="J164" s="112"/>
      <c r="K164" s="110">
        <f t="shared" si="45"/>
        <v>7475493</v>
      </c>
      <c r="L164" s="110">
        <f>2100000+15500000-1200000-1651000+50000+2263409-9334000+65000-317916</f>
        <v>7475493</v>
      </c>
      <c r="M164" s="112"/>
      <c r="N164" s="110"/>
      <c r="O164" s="112"/>
      <c r="P164" s="112">
        <f>L164</f>
        <v>7475493</v>
      </c>
      <c r="Q164" s="110">
        <f t="shared" si="33"/>
        <v>7475493</v>
      </c>
      <c r="R164" s="116"/>
      <c r="S164" s="116"/>
      <c r="T164" s="114"/>
    </row>
    <row r="165" spans="1:20" s="6" customFormat="1" ht="53.4"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5"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0</v>
      </c>
      <c r="G170" s="110">
        <f>300000-72377-227623</f>
        <v>0</v>
      </c>
      <c r="H170" s="112"/>
      <c r="I170" s="112"/>
      <c r="J170" s="112"/>
      <c r="K170" s="110">
        <f t="shared" si="45"/>
        <v>0</v>
      </c>
      <c r="L170" s="110"/>
      <c r="M170" s="112"/>
      <c r="N170" s="110"/>
      <c r="O170" s="112"/>
      <c r="P170" s="112"/>
      <c r="Q170" s="110">
        <f t="shared" si="33"/>
        <v>0</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38967257</v>
      </c>
      <c r="G172" s="110">
        <f>13800000+9972257+4195000+7000000+2800000+1200000</f>
        <v>38967257</v>
      </c>
      <c r="H172" s="112"/>
      <c r="I172" s="112"/>
      <c r="J172" s="112"/>
      <c r="K172" s="110">
        <f t="shared" si="45"/>
        <v>12573641.869999999</v>
      </c>
      <c r="L172" s="110">
        <f>26622306-3000000-7000000-2800000-2200000+1000000-3500000+3450695</f>
        <v>12573001</v>
      </c>
      <c r="M172" s="112">
        <v>640.87</v>
      </c>
      <c r="N172" s="110"/>
      <c r="O172" s="112"/>
      <c r="P172" s="112">
        <f>L172</f>
        <v>12573001</v>
      </c>
      <c r="Q172" s="110">
        <f t="shared" si="33"/>
        <v>51540898.869999997</v>
      </c>
      <c r="R172" s="116"/>
      <c r="S172" s="116"/>
      <c r="T172" s="114"/>
    </row>
    <row r="173" spans="1:20" s="6" customFormat="1" ht="50.4"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60513</v>
      </c>
      <c r="G174" s="110">
        <f>316487-316487</f>
        <v>0</v>
      </c>
      <c r="H174" s="112"/>
      <c r="I174" s="112"/>
      <c r="J174" s="112">
        <f>683513+177000-800000</f>
        <v>60513</v>
      </c>
      <c r="K174" s="110">
        <f t="shared" si="45"/>
        <v>0</v>
      </c>
      <c r="L174" s="110"/>
      <c r="M174" s="112"/>
      <c r="N174" s="110"/>
      <c r="O174" s="112"/>
      <c r="P174" s="112"/>
      <c r="Q174" s="110">
        <f t="shared" si="33"/>
        <v>60513</v>
      </c>
      <c r="R174" s="116"/>
      <c r="S174" s="116"/>
      <c r="T174" s="114"/>
    </row>
    <row r="175" spans="1:20" s="6" customFormat="1" ht="55.95" customHeight="1">
      <c r="A175" s="43" t="s">
        <v>235</v>
      </c>
      <c r="B175" s="43" t="s">
        <v>338</v>
      </c>
      <c r="C175" s="43" t="s">
        <v>196</v>
      </c>
      <c r="D175" s="44" t="s">
        <v>277</v>
      </c>
      <c r="E175" s="70"/>
      <c r="F175" s="110">
        <f t="shared" si="44"/>
        <v>0</v>
      </c>
      <c r="G175" s="110"/>
      <c r="H175" s="112"/>
      <c r="I175" s="112"/>
      <c r="J175" s="112">
        <v>0</v>
      </c>
      <c r="K175" s="110">
        <f>M175+P175</f>
        <v>4476487</v>
      </c>
      <c r="L175" s="110">
        <f>4760000-600000+316487</f>
        <v>4476487</v>
      </c>
      <c r="M175" s="112"/>
      <c r="N175" s="110"/>
      <c r="O175" s="112"/>
      <c r="P175" s="112">
        <f>L175</f>
        <v>4476487</v>
      </c>
      <c r="Q175" s="110">
        <f>F175+K175</f>
        <v>4476487</v>
      </c>
      <c r="R175" s="116"/>
      <c r="S175" s="116"/>
      <c r="T175" s="114"/>
    </row>
    <row r="176" spans="1:20" s="6" customFormat="1" ht="53.4" customHeight="1">
      <c r="A176" s="43" t="s">
        <v>436</v>
      </c>
      <c r="B176" s="43" t="s">
        <v>437</v>
      </c>
      <c r="C176" s="43" t="s">
        <v>196</v>
      </c>
      <c r="D176" s="44" t="s">
        <v>438</v>
      </c>
      <c r="E176" s="70"/>
      <c r="F176" s="110">
        <f>G176+J176</f>
        <v>371377</v>
      </c>
      <c r="G176" s="110"/>
      <c r="H176" s="112"/>
      <c r="I176" s="112"/>
      <c r="J176" s="112">
        <f>49000+49000+140804-140804+273377</f>
        <v>371377</v>
      </c>
      <c r="K176" s="110">
        <v>0</v>
      </c>
      <c r="L176" s="110"/>
      <c r="M176" s="112"/>
      <c r="N176" s="110"/>
      <c r="O176" s="112"/>
      <c r="P176" s="112"/>
      <c r="Q176" s="110">
        <f>F176+K176</f>
        <v>371377</v>
      </c>
      <c r="R176" s="116"/>
      <c r="S176" s="116"/>
      <c r="T176" s="114"/>
    </row>
    <row r="177" spans="1:20" s="6" customFormat="1" ht="73.2" customHeight="1">
      <c r="A177" s="43" t="s">
        <v>185</v>
      </c>
      <c r="B177" s="43" t="s">
        <v>340</v>
      </c>
      <c r="C177" s="43" t="s">
        <v>67</v>
      </c>
      <c r="D177" s="44" t="s">
        <v>219</v>
      </c>
      <c r="E177" s="70" t="s">
        <v>37</v>
      </c>
      <c r="F177" s="110">
        <f t="shared" si="44"/>
        <v>3354305</v>
      </c>
      <c r="G177" s="110">
        <f>270000-165000+200000+1000000+2000000+49305</f>
        <v>3354305</v>
      </c>
      <c r="H177" s="112"/>
      <c r="I177" s="112"/>
      <c r="J177" s="112"/>
      <c r="K177" s="110">
        <f t="shared" si="45"/>
        <v>1183000</v>
      </c>
      <c r="L177" s="110">
        <f>165000+400000+1500000-500000-382000</f>
        <v>1183000</v>
      </c>
      <c r="M177" s="112"/>
      <c r="N177" s="110"/>
      <c r="O177" s="112"/>
      <c r="P177" s="112">
        <f>L177</f>
        <v>1183000</v>
      </c>
      <c r="Q177" s="110">
        <f t="shared" si="33"/>
        <v>4537305</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 customHeight="1">
      <c r="A180" s="43" t="s">
        <v>542</v>
      </c>
      <c r="B180" s="43" t="s">
        <v>543</v>
      </c>
      <c r="C180" s="43" t="s">
        <v>544</v>
      </c>
      <c r="D180" s="83" t="s">
        <v>545</v>
      </c>
      <c r="E180" s="70"/>
      <c r="F180" s="117">
        <f t="shared" si="44"/>
        <v>1300000</v>
      </c>
      <c r="G180" s="117">
        <f>800000+500000</f>
        <v>1300000</v>
      </c>
      <c r="H180" s="118"/>
      <c r="I180" s="118"/>
      <c r="J180" s="118"/>
      <c r="K180" s="110">
        <f t="shared" si="45"/>
        <v>0</v>
      </c>
      <c r="L180" s="117"/>
      <c r="M180" s="117"/>
      <c r="N180" s="117"/>
      <c r="O180" s="118"/>
      <c r="P180" s="118"/>
      <c r="Q180" s="110">
        <f t="shared" si="33"/>
        <v>1300000</v>
      </c>
      <c r="R180" s="116"/>
      <c r="S180" s="116"/>
      <c r="T180" s="114"/>
    </row>
    <row r="181" spans="1:20" s="6" customFormat="1" ht="62.4"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5150000</v>
      </c>
      <c r="G183" s="107">
        <f t="shared" ref="G183:P183" si="47">G184</f>
        <v>5150000</v>
      </c>
      <c r="H183" s="107">
        <f t="shared" si="47"/>
        <v>3247065</v>
      </c>
      <c r="I183" s="107">
        <f t="shared" si="47"/>
        <v>160740</v>
      </c>
      <c r="J183" s="107">
        <f t="shared" si="47"/>
        <v>0</v>
      </c>
      <c r="K183" s="107">
        <f t="shared" si="47"/>
        <v>106500</v>
      </c>
      <c r="L183" s="107">
        <f t="shared" si="47"/>
        <v>106500</v>
      </c>
      <c r="M183" s="107">
        <f t="shared" si="47"/>
        <v>0</v>
      </c>
      <c r="N183" s="107">
        <f t="shared" si="47"/>
        <v>0</v>
      </c>
      <c r="O183" s="107">
        <f t="shared" si="47"/>
        <v>0</v>
      </c>
      <c r="P183" s="107">
        <f t="shared" si="47"/>
        <v>106500</v>
      </c>
      <c r="Q183" s="107">
        <f>F183+K183</f>
        <v>5256500</v>
      </c>
      <c r="R183" s="116"/>
      <c r="S183" s="116"/>
      <c r="T183" s="114"/>
    </row>
    <row r="184" spans="1:20" s="6" customFormat="1" ht="58.95" customHeight="1">
      <c r="A184" s="48" t="s">
        <v>306</v>
      </c>
      <c r="B184" s="66">
        <v>3110000</v>
      </c>
      <c r="C184" s="48"/>
      <c r="D184" s="80" t="str">
        <f>D183</f>
        <v>Управління комунального майна  та земельних відносин</v>
      </c>
      <c r="E184" s="54"/>
      <c r="F184" s="110">
        <f t="shared" ref="F184:P184" si="48">SUM(F185:F191)</f>
        <v>5150000</v>
      </c>
      <c r="G184" s="110">
        <f t="shared" si="48"/>
        <v>5150000</v>
      </c>
      <c r="H184" s="110">
        <f t="shared" si="48"/>
        <v>3247065</v>
      </c>
      <c r="I184" s="110">
        <f t="shared" si="48"/>
        <v>160740</v>
      </c>
      <c r="J184" s="110">
        <f t="shared" si="48"/>
        <v>0</v>
      </c>
      <c r="K184" s="110">
        <f t="shared" si="48"/>
        <v>106500</v>
      </c>
      <c r="L184" s="110">
        <f t="shared" si="48"/>
        <v>106500</v>
      </c>
      <c r="M184" s="110">
        <f t="shared" si="48"/>
        <v>0</v>
      </c>
      <c r="N184" s="110">
        <f t="shared" si="48"/>
        <v>0</v>
      </c>
      <c r="O184" s="110">
        <f t="shared" si="48"/>
        <v>0</v>
      </c>
      <c r="P184" s="110">
        <f t="shared" si="48"/>
        <v>106500</v>
      </c>
      <c r="Q184" s="110">
        <f t="shared" ref="Q184:Q203" si="49">F184+K184</f>
        <v>5256500</v>
      </c>
      <c r="R184" s="116"/>
      <c r="S184" s="116"/>
      <c r="T184" s="114"/>
    </row>
    <row r="185" spans="1:20" s="6" customFormat="1" ht="73.95" customHeight="1">
      <c r="A185" s="43" t="s">
        <v>307</v>
      </c>
      <c r="B185" s="43" t="s">
        <v>317</v>
      </c>
      <c r="C185" s="43" t="s">
        <v>57</v>
      </c>
      <c r="D185" s="81" t="s">
        <v>455</v>
      </c>
      <c r="E185" s="70"/>
      <c r="F185" s="110">
        <f>G185</f>
        <v>4340000</v>
      </c>
      <c r="G185" s="110">
        <f>4310000+30000</f>
        <v>4340000</v>
      </c>
      <c r="H185" s="112">
        <v>3247065</v>
      </c>
      <c r="I185" s="112">
        <v>160740</v>
      </c>
      <c r="J185" s="112"/>
      <c r="K185" s="110">
        <f t="shared" ref="K185:K191" si="50">M185+P185</f>
        <v>20000</v>
      </c>
      <c r="L185" s="110">
        <f>20000+30000-30000</f>
        <v>20000</v>
      </c>
      <c r="M185" s="112"/>
      <c r="N185" s="110"/>
      <c r="O185" s="112"/>
      <c r="P185" s="112">
        <f>L185</f>
        <v>20000</v>
      </c>
      <c r="Q185" s="110">
        <f t="shared" si="49"/>
        <v>4360000</v>
      </c>
      <c r="R185" s="116"/>
      <c r="S185" s="116"/>
      <c r="T185" s="114"/>
    </row>
    <row r="186" spans="1:20" s="6" customFormat="1" ht="46.95"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380000</v>
      </c>
      <c r="G187" s="110">
        <f>380000+700000-700000</f>
        <v>380000</v>
      </c>
      <c r="H187" s="112"/>
      <c r="I187" s="112"/>
      <c r="J187" s="112"/>
      <c r="K187" s="110">
        <f t="shared" si="50"/>
        <v>0</v>
      </c>
      <c r="L187" s="110"/>
      <c r="M187" s="112"/>
      <c r="N187" s="110"/>
      <c r="O187" s="112"/>
      <c r="P187" s="112"/>
      <c r="Q187" s="110">
        <f t="shared" si="49"/>
        <v>380000</v>
      </c>
      <c r="R187" s="116"/>
      <c r="S187" s="116"/>
      <c r="T187" s="114"/>
    </row>
    <row r="188" spans="1:20" s="6" customFormat="1" ht="52.2"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11748099.24</v>
      </c>
      <c r="G192" s="124">
        <f t="shared" ref="G192:P192" si="51">G193</f>
        <v>7769430</v>
      </c>
      <c r="H192" s="107">
        <f t="shared" si="51"/>
        <v>5415000</v>
      </c>
      <c r="I192" s="107">
        <f t="shared" si="51"/>
        <v>128000</v>
      </c>
      <c r="J192" s="107">
        <f t="shared" si="51"/>
        <v>0</v>
      </c>
      <c r="K192" s="107">
        <f t="shared" si="51"/>
        <v>52500</v>
      </c>
      <c r="L192" s="107">
        <f t="shared" si="51"/>
        <v>52500</v>
      </c>
      <c r="M192" s="107">
        <f t="shared" si="51"/>
        <v>0</v>
      </c>
      <c r="N192" s="107">
        <f t="shared" si="51"/>
        <v>0</v>
      </c>
      <c r="O192" s="107">
        <f t="shared" si="51"/>
        <v>0</v>
      </c>
      <c r="P192" s="107">
        <f t="shared" si="51"/>
        <v>52500</v>
      </c>
      <c r="Q192" s="107">
        <f t="shared" si="49"/>
        <v>11800599.24</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11748099.24</v>
      </c>
      <c r="G193" s="125">
        <f>SUM(G194:G200)+G201+G202</f>
        <v>7769430</v>
      </c>
      <c r="H193" s="125">
        <f t="shared" ref="H193:P193" si="52">SUM(H194:H200)+H201+H202</f>
        <v>5415000</v>
      </c>
      <c r="I193" s="125">
        <f t="shared" si="52"/>
        <v>128000</v>
      </c>
      <c r="J193" s="125">
        <f t="shared" si="52"/>
        <v>0</v>
      </c>
      <c r="K193" s="125">
        <f t="shared" si="52"/>
        <v>52500</v>
      </c>
      <c r="L193" s="125">
        <f t="shared" si="52"/>
        <v>52500</v>
      </c>
      <c r="M193" s="125">
        <f t="shared" si="52"/>
        <v>0</v>
      </c>
      <c r="N193" s="125">
        <f t="shared" si="52"/>
        <v>0</v>
      </c>
      <c r="O193" s="125">
        <f t="shared" si="52"/>
        <v>0</v>
      </c>
      <c r="P193" s="125">
        <f t="shared" si="52"/>
        <v>52500</v>
      </c>
      <c r="Q193" s="110">
        <f t="shared" si="49"/>
        <v>11800599.24</v>
      </c>
      <c r="R193" s="106"/>
      <c r="S193" s="119"/>
      <c r="T193" s="109"/>
    </row>
    <row r="194" spans="1:20" s="6" customFormat="1" ht="74.400000000000006" customHeight="1">
      <c r="A194" s="43" t="s">
        <v>191</v>
      </c>
      <c r="B194" s="43" t="s">
        <v>317</v>
      </c>
      <c r="C194" s="43" t="s">
        <v>57</v>
      </c>
      <c r="D194" s="81" t="s">
        <v>455</v>
      </c>
      <c r="E194" s="70" t="s">
        <v>2</v>
      </c>
      <c r="F194" s="110">
        <f>G194+J194</f>
        <v>6984882</v>
      </c>
      <c r="G194" s="110">
        <f>6784882+200000</f>
        <v>6984882</v>
      </c>
      <c r="H194" s="112">
        <f>5235000+180000</f>
        <v>5415000</v>
      </c>
      <c r="I194" s="112">
        <v>128000</v>
      </c>
      <c r="J194" s="112"/>
      <c r="K194" s="110">
        <f t="shared" ref="K194:K202" si="53">M194+P194</f>
        <v>20000</v>
      </c>
      <c r="L194" s="110">
        <f>20000</f>
        <v>20000</v>
      </c>
      <c r="M194" s="112"/>
      <c r="N194" s="110"/>
      <c r="O194" s="112"/>
      <c r="P194" s="112">
        <f>L194</f>
        <v>20000</v>
      </c>
      <c r="Q194" s="110">
        <f t="shared" si="49"/>
        <v>7004882</v>
      </c>
      <c r="R194" s="116"/>
      <c r="S194" s="116"/>
      <c r="T194" s="114"/>
    </row>
    <row r="195" spans="1:20" s="6" customFormat="1" ht="52.95"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5"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5"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5"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5" customHeight="1">
      <c r="A199" s="43" t="s">
        <v>510</v>
      </c>
      <c r="B199" s="43" t="s">
        <v>517</v>
      </c>
      <c r="C199" s="43" t="s">
        <v>68</v>
      </c>
      <c r="D199" s="81" t="s">
        <v>518</v>
      </c>
      <c r="E199" s="70"/>
      <c r="F199" s="110">
        <f>4390631+4390631.24-80000-4334593-49000-39000-300000</f>
        <v>3978669.24</v>
      </c>
      <c r="G199" s="110"/>
      <c r="H199" s="112"/>
      <c r="I199" s="112"/>
      <c r="J199" s="112"/>
      <c r="K199" s="110">
        <f t="shared" si="53"/>
        <v>0</v>
      </c>
      <c r="L199" s="110"/>
      <c r="M199" s="112"/>
      <c r="N199" s="110"/>
      <c r="O199" s="112"/>
      <c r="P199" s="112"/>
      <c r="Q199" s="110">
        <f>F199+K199</f>
        <v>3978669.24</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110000</v>
      </c>
      <c r="G201" s="110">
        <v>110000</v>
      </c>
      <c r="H201" s="112"/>
      <c r="I201" s="112"/>
      <c r="J201" s="112">
        <v>0</v>
      </c>
      <c r="K201" s="110">
        <f t="shared" si="53"/>
        <v>0</v>
      </c>
      <c r="L201" s="110"/>
      <c r="M201" s="112"/>
      <c r="N201" s="110"/>
      <c r="O201" s="112"/>
      <c r="P201" s="112"/>
      <c r="Q201" s="110">
        <f t="shared" si="54"/>
        <v>110000</v>
      </c>
      <c r="R201" s="116"/>
      <c r="S201" s="116"/>
      <c r="T201" s="114"/>
    </row>
    <row r="202" spans="1:20" s="6" customFormat="1" ht="82.95" customHeight="1">
      <c r="A202" s="43" t="s">
        <v>521</v>
      </c>
      <c r="B202" s="43" t="s">
        <v>522</v>
      </c>
      <c r="C202" s="43" t="s">
        <v>257</v>
      </c>
      <c r="D202" s="81" t="s">
        <v>523</v>
      </c>
      <c r="E202" s="5"/>
      <c r="F202" s="110">
        <f>G202+J202</f>
        <v>400000</v>
      </c>
      <c r="G202" s="110">
        <f>100000+100000+200000</f>
        <v>400000</v>
      </c>
      <c r="H202" s="112"/>
      <c r="I202" s="112"/>
      <c r="J202" s="112"/>
      <c r="K202" s="110">
        <f t="shared" si="53"/>
        <v>0</v>
      </c>
      <c r="L202" s="110"/>
      <c r="M202" s="112"/>
      <c r="N202" s="110"/>
      <c r="O202" s="112"/>
      <c r="P202" s="112"/>
      <c r="Q202" s="110">
        <f t="shared" si="54"/>
        <v>400000</v>
      </c>
      <c r="R202" s="116"/>
      <c r="S202" s="116"/>
      <c r="T202" s="114"/>
    </row>
    <row r="203" spans="1:20" s="9" customFormat="1" ht="68.400000000000006" customHeight="1">
      <c r="A203" s="69"/>
      <c r="B203" s="69"/>
      <c r="C203" s="69"/>
      <c r="D203" s="73" t="s">
        <v>192</v>
      </c>
      <c r="E203" s="69" t="s">
        <v>12</v>
      </c>
      <c r="F203" s="110">
        <f>F11+F48+F120+F133+F145+F192+F82+F183</f>
        <v>595015393.20000005</v>
      </c>
      <c r="G203" s="110">
        <f>G11+G48+G120+G133+G145+G192+G82+G183</f>
        <v>551964750.38</v>
      </c>
      <c r="H203" s="110">
        <f>H11+H48+H120+H133+H145+H192+H82+H183</f>
        <v>272274775</v>
      </c>
      <c r="I203" s="110">
        <f>I11+I48+I120+I133+I145+I192+I82+I183</f>
        <v>59223260.509999998</v>
      </c>
      <c r="J203" s="110">
        <f>J11+J48+J120+J133+J145+J192+J82</f>
        <v>39071973.579999998</v>
      </c>
      <c r="K203" s="110">
        <f>M203+P203</f>
        <v>53621879.850000001</v>
      </c>
      <c r="L203" s="110">
        <f>L11+L48+L120+L133+L145+L192+L82+L183</f>
        <v>42471111.5</v>
      </c>
      <c r="M203" s="110">
        <f>M11+M48+M120+M133+M145+M192+M82+M183</f>
        <v>11030768.35</v>
      </c>
      <c r="N203" s="110">
        <f>N11+N48+N120+N133+N145+N192+N82</f>
        <v>582050</v>
      </c>
      <c r="O203" s="110">
        <f>O11+O48+O120+O133+O145+O192+O82</f>
        <v>335000</v>
      </c>
      <c r="P203" s="110">
        <f>P11+P48+P120+P133+P145+P192+P82+P183</f>
        <v>42591111.5</v>
      </c>
      <c r="Q203" s="110">
        <f t="shared" si="49"/>
        <v>648637273.05000007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2"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200000000000003" customHeight="1">
      <c r="A206" s="148" t="s">
        <v>547</v>
      </c>
      <c r="B206" s="148"/>
      <c r="C206" s="148"/>
      <c r="D206" s="148"/>
      <c r="E206" s="148"/>
      <c r="F206" s="148"/>
      <c r="G206" s="148"/>
      <c r="H206" s="148"/>
      <c r="I206" s="148"/>
      <c r="J206" s="148"/>
      <c r="K206" s="148"/>
      <c r="L206" s="148"/>
      <c r="M206" s="148"/>
      <c r="N206" s="148"/>
      <c r="O206" s="148"/>
      <c r="P206" s="148"/>
      <c r="Q206" s="148"/>
      <c r="R206" s="40"/>
      <c r="S206" s="41"/>
      <c r="T206" s="10"/>
    </row>
    <row r="207" spans="1:20" s="9" customFormat="1" ht="57" customHeight="1">
      <c r="A207" s="135"/>
      <c r="B207" s="135"/>
      <c r="C207" s="135"/>
      <c r="D207" s="135"/>
      <c r="E207" s="135"/>
      <c r="F207" s="135"/>
      <c r="G207" s="135"/>
      <c r="H207" s="135"/>
      <c r="I207" s="135"/>
      <c r="J207" s="135"/>
      <c r="K207" s="135"/>
      <c r="L207" s="135"/>
      <c r="M207" s="135"/>
      <c r="N207" s="135"/>
      <c r="O207" s="135"/>
      <c r="P207" s="135"/>
      <c r="Q207" s="135"/>
      <c r="T207" s="10"/>
    </row>
    <row r="208" spans="1:20" s="19" customFormat="1" ht="21.75" customHeight="1">
      <c r="A208" s="135"/>
      <c r="B208" s="135"/>
      <c r="C208" s="135"/>
      <c r="D208" s="135"/>
      <c r="E208" s="135"/>
      <c r="F208" s="135"/>
      <c r="G208" s="135"/>
      <c r="H208" s="135"/>
      <c r="I208" s="135"/>
      <c r="J208" s="135"/>
      <c r="K208" s="135"/>
      <c r="L208" s="135"/>
      <c r="M208" s="135"/>
      <c r="N208" s="135"/>
      <c r="O208" s="135"/>
      <c r="P208" s="135"/>
      <c r="Q208" s="135"/>
      <c r="T208" s="20"/>
    </row>
    <row r="211" spans="17:17" ht="24.75" customHeight="1">
      <c r="Q211" s="42"/>
    </row>
  </sheetData>
  <mergeCells count="32">
    <mergeCell ref="A206:Q206"/>
    <mergeCell ref="M7:M9"/>
    <mergeCell ref="A5:C5"/>
    <mergeCell ref="A6:A9"/>
    <mergeCell ref="B6:B9"/>
    <mergeCell ref="C6:C9"/>
    <mergeCell ref="D6:D9"/>
    <mergeCell ref="F6:J6"/>
    <mergeCell ref="A4:C4"/>
    <mergeCell ref="N4:Q4"/>
    <mergeCell ref="N1:Q1"/>
    <mergeCell ref="A2:M2"/>
    <mergeCell ref="N2:Q2"/>
    <mergeCell ref="A3:M3"/>
    <mergeCell ref="N3:Q3"/>
    <mergeCell ref="K4:M4"/>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2022-05-17T11:59:28Z</cp:lastPrinted>
  <dcterms:created xsi:type="dcterms:W3CDTF">2002-10-09T16:25:59Z</dcterms:created>
  <dcterms:modified xsi:type="dcterms:W3CDTF">2022-08-04T06:55:03Z</dcterms:modified>
</cp:coreProperties>
</file>