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0" yWindow="-120" windowWidth="19440" windowHeight="11760" tabRatio="597"/>
  </bookViews>
  <sheets>
    <sheet name="дод 3 " sheetId="5" r:id="rId1"/>
  </sheets>
  <definedNames>
    <definedName name="_xlnm._FilterDatabase" localSheetId="0" hidden="1">'дод 3 '!$E$1:$Q$217</definedName>
    <definedName name="_xlnm.Print_Titles" localSheetId="0">'дод 3 '!$7:$11</definedName>
    <definedName name="_xlnm.Print_Area" localSheetId="0">'дод 3 '!$A$1:$Q$215</definedName>
  </definedNames>
  <calcPr calcId="125725"/>
</workbook>
</file>

<file path=xl/calcChain.xml><?xml version="1.0" encoding="utf-8"?>
<calcChain xmlns="http://schemas.openxmlformats.org/spreadsheetml/2006/main">
  <c r="G56" i="5"/>
  <c r="J211"/>
  <c r="F207"/>
  <c r="G146"/>
  <c r="L56"/>
  <c r="I56"/>
  <c r="G72"/>
  <c r="G68"/>
  <c r="G64"/>
  <c r="L171"/>
  <c r="G141"/>
  <c r="G16"/>
  <c r="L40"/>
  <c r="L16"/>
  <c r="L38"/>
  <c r="J38"/>
  <c r="G193"/>
  <c r="G211"/>
  <c r="L185"/>
  <c r="L161"/>
  <c r="J165"/>
  <c r="G166"/>
  <c r="G181"/>
  <c r="L81"/>
  <c r="L54"/>
  <c r="G48"/>
  <c r="L179"/>
  <c r="G188"/>
  <c r="G88"/>
  <c r="G15"/>
  <c r="G96"/>
  <c r="G117"/>
  <c r="I146"/>
  <c r="L146"/>
  <c r="H56"/>
  <c r="G54"/>
  <c r="G14"/>
  <c r="L14"/>
  <c r="G31"/>
  <c r="G29"/>
  <c r="G27"/>
  <c r="G42"/>
  <c r="G152"/>
  <c r="I152"/>
  <c r="I166"/>
  <c r="G149"/>
  <c r="G143"/>
  <c r="L115"/>
  <c r="G115"/>
  <c r="I116"/>
  <c r="H65"/>
  <c r="G65"/>
  <c r="G83"/>
  <c r="G118"/>
  <c r="G116"/>
  <c r="G119"/>
  <c r="G44"/>
  <c r="H143"/>
  <c r="G30"/>
  <c r="H193"/>
  <c r="H202"/>
  <c r="G202"/>
  <c r="H152"/>
  <c r="H14"/>
  <c r="L36"/>
  <c r="G161" l="1"/>
  <c r="J166"/>
  <c r="L166"/>
  <c r="L48"/>
  <c r="P177"/>
  <c r="L83"/>
  <c r="L64"/>
  <c r="L135"/>
  <c r="L130"/>
  <c r="L168"/>
  <c r="G179"/>
  <c r="P181"/>
  <c r="G18"/>
  <c r="G121"/>
  <c r="G133"/>
  <c r="G185"/>
  <c r="G17"/>
  <c r="L33"/>
  <c r="G38"/>
  <c r="G128"/>
  <c r="G20"/>
  <c r="L182"/>
  <c r="P40"/>
  <c r="H68"/>
  <c r="H54"/>
  <c r="H52"/>
  <c r="G52"/>
  <c r="L154" l="1"/>
  <c r="P154" s="1"/>
  <c r="K154" s="1"/>
  <c r="F154"/>
  <c r="L78"/>
  <c r="K183"/>
  <c r="K184"/>
  <c r="F184"/>
  <c r="P155"/>
  <c r="K155" s="1"/>
  <c r="F155"/>
  <c r="L79"/>
  <c r="P79" s="1"/>
  <c r="K79" s="1"/>
  <c r="J201"/>
  <c r="I151"/>
  <c r="G142"/>
  <c r="F81"/>
  <c r="P78"/>
  <c r="K78" s="1"/>
  <c r="F79"/>
  <c r="F78"/>
  <c r="G25"/>
  <c r="L17"/>
  <c r="L34"/>
  <c r="L136"/>
  <c r="P35"/>
  <c r="K35" s="1"/>
  <c r="F35"/>
  <c r="G194"/>
  <c r="J183"/>
  <c r="H146"/>
  <c r="K145"/>
  <c r="F145"/>
  <c r="L196"/>
  <c r="G129"/>
  <c r="G89"/>
  <c r="G196"/>
  <c r="G136"/>
  <c r="I128"/>
  <c r="I125" s="1"/>
  <c r="H128"/>
  <c r="L162"/>
  <c r="P162" s="1"/>
  <c r="J162"/>
  <c r="I72"/>
  <c r="I65"/>
  <c r="I64"/>
  <c r="I54"/>
  <c r="H64"/>
  <c r="G26"/>
  <c r="G153"/>
  <c r="J125"/>
  <c r="J138"/>
  <c r="J192"/>
  <c r="I201"/>
  <c r="P44"/>
  <c r="Q184" l="1"/>
  <c r="Q154"/>
  <c r="Q155"/>
  <c r="Q35"/>
  <c r="Q145"/>
  <c r="Q79"/>
  <c r="Q78"/>
  <c r="F211" l="1"/>
  <c r="M189"/>
  <c r="G203" l="1"/>
  <c r="L43" l="1"/>
  <c r="G43"/>
  <c r="L197"/>
  <c r="G45"/>
  <c r="I193"/>
  <c r="I192" s="1"/>
  <c r="L201" l="1"/>
  <c r="M201"/>
  <c r="N201"/>
  <c r="O201"/>
  <c r="K211"/>
  <c r="I143"/>
  <c r="I138" s="1"/>
  <c r="G19"/>
  <c r="G210"/>
  <c r="F210" s="1"/>
  <c r="Q210" s="1"/>
  <c r="Q211" l="1"/>
  <c r="G195"/>
  <c r="G77"/>
  <c r="H192"/>
  <c r="H126"/>
  <c r="G126"/>
  <c r="H139"/>
  <c r="G139"/>
  <c r="H151"/>
  <c r="H88"/>
  <c r="H201"/>
  <c r="H131"/>
  <c r="G131"/>
  <c r="H130"/>
  <c r="G130"/>
  <c r="H129"/>
  <c r="H115"/>
  <c r="H116"/>
  <c r="H72"/>
  <c r="P144"/>
  <c r="P143"/>
  <c r="F144"/>
  <c r="G66"/>
  <c r="G21"/>
  <c r="G204"/>
  <c r="G167"/>
  <c r="G180"/>
  <c r="L122"/>
  <c r="G122"/>
  <c r="G156"/>
  <c r="G120"/>
  <c r="G28"/>
  <c r="G140"/>
  <c r="G127"/>
  <c r="P168"/>
  <c r="P130"/>
  <c r="K130" s="1"/>
  <c r="P81"/>
  <c r="L129"/>
  <c r="L128"/>
  <c r="M54"/>
  <c r="M152"/>
  <c r="G132"/>
  <c r="H200"/>
  <c r="I200"/>
  <c r="J200"/>
  <c r="L67"/>
  <c r="L131"/>
  <c r="H138" l="1"/>
  <c r="H125"/>
  <c r="G201"/>
  <c r="G125"/>
  <c r="H57"/>
  <c r="G177" l="1"/>
  <c r="G151" s="1"/>
  <c r="L148"/>
  <c r="P48" l="1"/>
  <c r="K48" s="1"/>
  <c r="F48"/>
  <c r="J40"/>
  <c r="P34"/>
  <c r="K34" s="1"/>
  <c r="F34"/>
  <c r="K188"/>
  <c r="F188"/>
  <c r="K46"/>
  <c r="K47"/>
  <c r="F46"/>
  <c r="F47"/>
  <c r="P148"/>
  <c r="K148" s="1"/>
  <c r="F147"/>
  <c r="F148"/>
  <c r="Q47" l="1"/>
  <c r="Q34"/>
  <c r="Q46"/>
  <c r="Q148"/>
  <c r="Q188"/>
  <c r="Q48"/>
  <c r="G13"/>
  <c r="G59" l="1"/>
  <c r="H59"/>
  <c r="I59"/>
  <c r="J59"/>
  <c r="M67"/>
  <c r="N67"/>
  <c r="O67"/>
  <c r="G67"/>
  <c r="H67"/>
  <c r="I67"/>
  <c r="J67"/>
  <c r="H87"/>
  <c r="I87"/>
  <c r="P49"/>
  <c r="F28"/>
  <c r="Q28" s="1"/>
  <c r="H13"/>
  <c r="I13"/>
  <c r="J13"/>
  <c r="M13"/>
  <c r="N13"/>
  <c r="O13"/>
  <c r="P65"/>
  <c r="P64" l="1"/>
  <c r="L59"/>
  <c r="L55"/>
  <c r="M55"/>
  <c r="N55"/>
  <c r="O55"/>
  <c r="L13"/>
  <c r="G87"/>
  <c r="G55"/>
  <c r="G57"/>
  <c r="H55"/>
  <c r="H51" s="1"/>
  <c r="I55"/>
  <c r="J55"/>
  <c r="H86"/>
  <c r="I86"/>
  <c r="D13"/>
  <c r="K32"/>
  <c r="F32"/>
  <c r="P140"/>
  <c r="K140" s="1"/>
  <c r="P147"/>
  <c r="K147" s="1"/>
  <c r="Q147" s="1"/>
  <c r="P149"/>
  <c r="F167"/>
  <c r="Q167" s="1"/>
  <c r="P172"/>
  <c r="P139"/>
  <c r="G51" l="1"/>
  <c r="L51"/>
  <c r="P59"/>
  <c r="Q32"/>
  <c r="P15"/>
  <c r="P116"/>
  <c r="P115"/>
  <c r="F166"/>
  <c r="O51"/>
  <c r="P73"/>
  <c r="N51"/>
  <c r="M51"/>
  <c r="J51"/>
  <c r="P72"/>
  <c r="P74"/>
  <c r="P75"/>
  <c r="P166"/>
  <c r="P37"/>
  <c r="K49"/>
  <c r="P142"/>
  <c r="P41"/>
  <c r="P71"/>
  <c r="P67" s="1"/>
  <c r="L160"/>
  <c r="L151" s="1"/>
  <c r="P180"/>
  <c r="P76"/>
  <c r="F209" l="1"/>
  <c r="K44"/>
  <c r="K208"/>
  <c r="K209"/>
  <c r="Q209" l="1"/>
  <c r="L138"/>
  <c r="K52"/>
  <c r="K53"/>
  <c r="K57"/>
  <c r="K58"/>
  <c r="K60"/>
  <c r="K62"/>
  <c r="K63"/>
  <c r="K64"/>
  <c r="K65"/>
  <c r="K66"/>
  <c r="K68"/>
  <c r="K69"/>
  <c r="K70"/>
  <c r="K71"/>
  <c r="K72"/>
  <c r="K74"/>
  <c r="K75"/>
  <c r="K76"/>
  <c r="K77"/>
  <c r="K80"/>
  <c r="K81"/>
  <c r="Q81" s="1"/>
  <c r="K82"/>
  <c r="P30"/>
  <c r="K67" l="1"/>
  <c r="K73"/>
  <c r="P141"/>
  <c r="P61"/>
  <c r="K59" l="1"/>
  <c r="K61"/>
  <c r="P84"/>
  <c r="K84" s="1"/>
  <c r="Q60"/>
  <c r="I51"/>
  <c r="K88"/>
  <c r="P179"/>
  <c r="P160"/>
  <c r="P178"/>
  <c r="K134"/>
  <c r="P135"/>
  <c r="K135" s="1"/>
  <c r="F134"/>
  <c r="F135"/>
  <c r="P128"/>
  <c r="P131"/>
  <c r="P129"/>
  <c r="P146"/>
  <c r="P202"/>
  <c r="P14"/>
  <c r="P54" l="1"/>
  <c r="P171"/>
  <c r="Q135"/>
  <c r="P56"/>
  <c r="K56" s="1"/>
  <c r="F83"/>
  <c r="F84"/>
  <c r="F82"/>
  <c r="F77"/>
  <c r="Q77" s="1"/>
  <c r="F80"/>
  <c r="Q80" s="1"/>
  <c r="F76"/>
  <c r="Q76" s="1"/>
  <c r="F75"/>
  <c r="Q75" s="1"/>
  <c r="F74"/>
  <c r="F72"/>
  <c r="Q72" s="1"/>
  <c r="F71"/>
  <c r="Q71" s="1"/>
  <c r="F70"/>
  <c r="Q70" s="1"/>
  <c r="F69"/>
  <c r="Q69" s="1"/>
  <c r="F68"/>
  <c r="F65"/>
  <c r="Q65" s="1"/>
  <c r="F66"/>
  <c r="Q66" s="1"/>
  <c r="F128"/>
  <c r="F64"/>
  <c r="F56"/>
  <c r="F58"/>
  <c r="F61"/>
  <c r="F62"/>
  <c r="F57"/>
  <c r="F52"/>
  <c r="F54"/>
  <c r="F15"/>
  <c r="K15"/>
  <c r="P196"/>
  <c r="F198"/>
  <c r="P198"/>
  <c r="K198" s="1"/>
  <c r="P197"/>
  <c r="P182"/>
  <c r="P136"/>
  <c r="P133"/>
  <c r="P122"/>
  <c r="P83"/>
  <c r="F44"/>
  <c r="Q44" s="1"/>
  <c r="P38"/>
  <c r="P36"/>
  <c r="P33"/>
  <c r="P18"/>
  <c r="P17"/>
  <c r="P16"/>
  <c r="Q61" l="1"/>
  <c r="F59"/>
  <c r="Q59" s="1"/>
  <c r="F67"/>
  <c r="Q67" s="1"/>
  <c r="Q68"/>
  <c r="K54"/>
  <c r="Q74"/>
  <c r="F73"/>
  <c r="Q73" s="1"/>
  <c r="K83"/>
  <c r="F55"/>
  <c r="Q56"/>
  <c r="P55"/>
  <c r="K55" s="1"/>
  <c r="F53"/>
  <c r="Q15"/>
  <c r="P204"/>
  <c r="P201" s="1"/>
  <c r="Q198"/>
  <c r="K51" l="1"/>
  <c r="P51"/>
  <c r="K16"/>
  <c r="K149"/>
  <c r="F141"/>
  <c r="K181"/>
  <c r="F43"/>
  <c r="F208"/>
  <c r="Q208" s="1"/>
  <c r="K207"/>
  <c r="Q207" s="1"/>
  <c r="K206"/>
  <c r="F206"/>
  <c r="F205"/>
  <c r="Q205" s="1"/>
  <c r="K204"/>
  <c r="F204"/>
  <c r="K203"/>
  <c r="G200"/>
  <c r="L200"/>
  <c r="K202"/>
  <c r="F202"/>
  <c r="P200"/>
  <c r="M200"/>
  <c r="D201"/>
  <c r="O200"/>
  <c r="N200"/>
  <c r="P199"/>
  <c r="K199" s="1"/>
  <c r="F199"/>
  <c r="K196"/>
  <c r="F196"/>
  <c r="K197"/>
  <c r="F197"/>
  <c r="K195"/>
  <c r="F195"/>
  <c r="K194"/>
  <c r="F194"/>
  <c r="P193"/>
  <c r="K193" s="1"/>
  <c r="I191"/>
  <c r="F193"/>
  <c r="O192"/>
  <c r="O191" s="1"/>
  <c r="N192"/>
  <c r="N191" s="1"/>
  <c r="M192"/>
  <c r="M191" s="1"/>
  <c r="J191"/>
  <c r="H191"/>
  <c r="D192"/>
  <c r="K190"/>
  <c r="F190"/>
  <c r="K189"/>
  <c r="F189"/>
  <c r="K187"/>
  <c r="K186"/>
  <c r="F186"/>
  <c r="P185"/>
  <c r="K185" s="1"/>
  <c r="F185"/>
  <c r="F183"/>
  <c r="Q183" s="1"/>
  <c r="K182"/>
  <c r="F182"/>
  <c r="F181"/>
  <c r="K180"/>
  <c r="F180"/>
  <c r="K178"/>
  <c r="F178"/>
  <c r="F177"/>
  <c r="P176"/>
  <c r="K176" s="1"/>
  <c r="F176"/>
  <c r="P175"/>
  <c r="K175" s="1"/>
  <c r="F175"/>
  <c r="P174"/>
  <c r="K174" s="1"/>
  <c r="F174"/>
  <c r="P173"/>
  <c r="K173" s="1"/>
  <c r="F173"/>
  <c r="K172"/>
  <c r="F172"/>
  <c r="K171"/>
  <c r="F171"/>
  <c r="K170"/>
  <c r="F170"/>
  <c r="K169"/>
  <c r="F169"/>
  <c r="K168"/>
  <c r="F168"/>
  <c r="K166"/>
  <c r="P165"/>
  <c r="K165" s="1"/>
  <c r="F165"/>
  <c r="K164"/>
  <c r="F164"/>
  <c r="P163"/>
  <c r="K163" s="1"/>
  <c r="J163"/>
  <c r="K162"/>
  <c r="F162"/>
  <c r="F161"/>
  <c r="K160"/>
  <c r="F160"/>
  <c r="P159"/>
  <c r="K159" s="1"/>
  <c r="F159"/>
  <c r="K158"/>
  <c r="F158"/>
  <c r="P157"/>
  <c r="K157" s="1"/>
  <c r="F157"/>
  <c r="K156"/>
  <c r="F156"/>
  <c r="K153"/>
  <c r="F153"/>
  <c r="K152"/>
  <c r="F152"/>
  <c r="O151"/>
  <c r="O150" s="1"/>
  <c r="N151"/>
  <c r="N150" s="1"/>
  <c r="I150"/>
  <c r="H150"/>
  <c r="D151"/>
  <c r="F149"/>
  <c r="K146"/>
  <c r="F146"/>
  <c r="K144"/>
  <c r="Q144" s="1"/>
  <c r="F143"/>
  <c r="K143"/>
  <c r="K142"/>
  <c r="F142"/>
  <c r="F140"/>
  <c r="Q140" s="1"/>
  <c r="K139"/>
  <c r="F139"/>
  <c r="O138"/>
  <c r="O137" s="1"/>
  <c r="N138"/>
  <c r="N137" s="1"/>
  <c r="M138"/>
  <c r="M137" s="1"/>
  <c r="J137"/>
  <c r="I137"/>
  <c r="D138"/>
  <c r="K136"/>
  <c r="F136"/>
  <c r="F133"/>
  <c r="K132"/>
  <c r="F132"/>
  <c r="K131"/>
  <c r="F131"/>
  <c r="F130"/>
  <c r="K129"/>
  <c r="F129"/>
  <c r="K127"/>
  <c r="G124"/>
  <c r="P126"/>
  <c r="K126" s="1"/>
  <c r="F126"/>
  <c r="O125"/>
  <c r="O124" s="1"/>
  <c r="N125"/>
  <c r="N124" s="1"/>
  <c r="M125"/>
  <c r="M124" s="1"/>
  <c r="L125"/>
  <c r="L124" s="1"/>
  <c r="J124"/>
  <c r="I124"/>
  <c r="D125"/>
  <c r="K123"/>
  <c r="F123"/>
  <c r="K122"/>
  <c r="F122"/>
  <c r="F121"/>
  <c r="Q121" s="1"/>
  <c r="K120"/>
  <c r="F120"/>
  <c r="K119"/>
  <c r="F119"/>
  <c r="K118"/>
  <c r="F118"/>
  <c r="K117"/>
  <c r="F117"/>
  <c r="K115"/>
  <c r="F115"/>
  <c r="K114"/>
  <c r="F114"/>
  <c r="K113"/>
  <c r="F113"/>
  <c r="K112"/>
  <c r="F112"/>
  <c r="K111"/>
  <c r="F111"/>
  <c r="K110"/>
  <c r="F110"/>
  <c r="K109"/>
  <c r="F109"/>
  <c r="K108"/>
  <c r="F108"/>
  <c r="K107"/>
  <c r="F107"/>
  <c r="F106"/>
  <c r="Q106" s="1"/>
  <c r="K105"/>
  <c r="F105"/>
  <c r="K104"/>
  <c r="F104"/>
  <c r="K103"/>
  <c r="F103"/>
  <c r="K102"/>
  <c r="F102"/>
  <c r="K101"/>
  <c r="F101"/>
  <c r="K100"/>
  <c r="F100"/>
  <c r="K99"/>
  <c r="F99"/>
  <c r="P98"/>
  <c r="P87" s="1"/>
  <c r="O98"/>
  <c r="O87" s="1"/>
  <c r="N98"/>
  <c r="N87" s="1"/>
  <c r="M98"/>
  <c r="M87" s="1"/>
  <c r="L98"/>
  <c r="L87" s="1"/>
  <c r="J98"/>
  <c r="J87" s="1"/>
  <c r="K97"/>
  <c r="F97"/>
  <c r="K96"/>
  <c r="F96"/>
  <c r="K95"/>
  <c r="F95"/>
  <c r="K94"/>
  <c r="F94"/>
  <c r="K93"/>
  <c r="F93"/>
  <c r="K92"/>
  <c r="F92"/>
  <c r="K91"/>
  <c r="F91"/>
  <c r="K90"/>
  <c r="F90"/>
  <c r="K89"/>
  <c r="F89"/>
  <c r="F88"/>
  <c r="Q88" s="1"/>
  <c r="G86"/>
  <c r="D87"/>
  <c r="K85"/>
  <c r="F85"/>
  <c r="K128"/>
  <c r="Q128" s="1"/>
  <c r="Q63"/>
  <c r="H50"/>
  <c r="O50"/>
  <c r="N50"/>
  <c r="M50"/>
  <c r="J50"/>
  <c r="I50"/>
  <c r="F49"/>
  <c r="Q49" s="1"/>
  <c r="K45"/>
  <c r="F45"/>
  <c r="P43"/>
  <c r="K43" s="1"/>
  <c r="K42"/>
  <c r="F42"/>
  <c r="K41"/>
  <c r="F41"/>
  <c r="K40"/>
  <c r="F40"/>
  <c r="K39"/>
  <c r="F39"/>
  <c r="K38"/>
  <c r="F38"/>
  <c r="K37"/>
  <c r="F37"/>
  <c r="K36"/>
  <c r="F36"/>
  <c r="K33"/>
  <c r="L12"/>
  <c r="F33"/>
  <c r="K31"/>
  <c r="F31"/>
  <c r="K30"/>
  <c r="F30"/>
  <c r="K29"/>
  <c r="F29"/>
  <c r="K27"/>
  <c r="F27"/>
  <c r="K116"/>
  <c r="F116"/>
  <c r="K26"/>
  <c r="F26"/>
  <c r="K25"/>
  <c r="F25"/>
  <c r="K24"/>
  <c r="F24"/>
  <c r="K23"/>
  <c r="F23"/>
  <c r="K22"/>
  <c r="F22"/>
  <c r="K21"/>
  <c r="F21"/>
  <c r="K20"/>
  <c r="F20"/>
  <c r="K19"/>
  <c r="F19"/>
  <c r="K18"/>
  <c r="F18"/>
  <c r="K17"/>
  <c r="F17"/>
  <c r="F16"/>
  <c r="K14"/>
  <c r="H12"/>
  <c r="F14"/>
  <c r="O12"/>
  <c r="N12"/>
  <c r="M12"/>
  <c r="J12"/>
  <c r="I12"/>
  <c r="K201" l="1"/>
  <c r="Q185"/>
  <c r="F163"/>
  <c r="J151"/>
  <c r="J150" s="1"/>
  <c r="Q143"/>
  <c r="L86"/>
  <c r="P86"/>
  <c r="P13"/>
  <c r="P12" s="1"/>
  <c r="O86"/>
  <c r="O212" s="1"/>
  <c r="N86"/>
  <c r="N212" s="1"/>
  <c r="M86"/>
  <c r="K13"/>
  <c r="K12" s="1"/>
  <c r="K200"/>
  <c r="Q194"/>
  <c r="Q195"/>
  <c r="Q180"/>
  <c r="Q101"/>
  <c r="Q109"/>
  <c r="Q102"/>
  <c r="Q27"/>
  <c r="Q29"/>
  <c r="Q45"/>
  <c r="Q30"/>
  <c r="Q110"/>
  <c r="Q119"/>
  <c r="Q159"/>
  <c r="Q163"/>
  <c r="Q113"/>
  <c r="Q120"/>
  <c r="Q158"/>
  <c r="Q164"/>
  <c r="Q21"/>
  <c r="Q24"/>
  <c r="Q26"/>
  <c r="Q90"/>
  <c r="Q92"/>
  <c r="Q94"/>
  <c r="Q96"/>
  <c r="Q123"/>
  <c r="Q20"/>
  <c r="Q25"/>
  <c r="Q116"/>
  <c r="Q39"/>
  <c r="Q62"/>
  <c r="Q89"/>
  <c r="Q91"/>
  <c r="Q95"/>
  <c r="Q97"/>
  <c r="K98"/>
  <c r="K87" s="1"/>
  <c r="Q126"/>
  <c r="Q153"/>
  <c r="Q189"/>
  <c r="Q54"/>
  <c r="Q52"/>
  <c r="Q202"/>
  <c r="Q206"/>
  <c r="Q190"/>
  <c r="Q168"/>
  <c r="Q160"/>
  <c r="Q152"/>
  <c r="Q122"/>
  <c r="Q64"/>
  <c r="Q186"/>
  <c r="Q105"/>
  <c r="Q93"/>
  <c r="Q117"/>
  <c r="Q182"/>
  <c r="Q204"/>
  <c r="Q136"/>
  <c r="Q18"/>
  <c r="Q17"/>
  <c r="Q22"/>
  <c r="Q37"/>
  <c r="Q55"/>
  <c r="Q33"/>
  <c r="Q57"/>
  <c r="Q82"/>
  <c r="Q84"/>
  <c r="Q85"/>
  <c r="Q99"/>
  <c r="Q104"/>
  <c r="Q108"/>
  <c r="Q111"/>
  <c r="Q114"/>
  <c r="Q132"/>
  <c r="Q157"/>
  <c r="Q175"/>
  <c r="Q197"/>
  <c r="H124"/>
  <c r="Q169"/>
  <c r="Q176"/>
  <c r="Q196"/>
  <c r="Q19"/>
  <c r="Q23"/>
  <c r="Q40"/>
  <c r="Q42"/>
  <c r="Q53"/>
  <c r="Q58"/>
  <c r="Q83"/>
  <c r="L50"/>
  <c r="Q100"/>
  <c r="Q103"/>
  <c r="Q107"/>
  <c r="Q112"/>
  <c r="Q115"/>
  <c r="F127"/>
  <c r="F125" s="1"/>
  <c r="F124" s="1"/>
  <c r="Q129"/>
  <c r="Q142"/>
  <c r="Q156"/>
  <c r="Q173"/>
  <c r="Q177"/>
  <c r="G192"/>
  <c r="G191" s="1"/>
  <c r="L192"/>
  <c r="L191" s="1"/>
  <c r="P192"/>
  <c r="P191" s="1"/>
  <c r="K179"/>
  <c r="L137"/>
  <c r="Q31"/>
  <c r="Q36"/>
  <c r="Q118"/>
  <c r="H137"/>
  <c r="M151"/>
  <c r="M150" s="1"/>
  <c r="Q162"/>
  <c r="Q174"/>
  <c r="I212"/>
  <c r="Q14"/>
  <c r="Q130"/>
  <c r="Q16"/>
  <c r="Q149"/>
  <c r="P138"/>
  <c r="P137" s="1"/>
  <c r="G150"/>
  <c r="F187"/>
  <c r="Q187" s="1"/>
  <c r="G12"/>
  <c r="Q166"/>
  <c r="Q41"/>
  <c r="Q43"/>
  <c r="Q131"/>
  <c r="Q134"/>
  <c r="Q171"/>
  <c r="Q199"/>
  <c r="P125"/>
  <c r="P124" s="1"/>
  <c r="K133"/>
  <c r="Q139"/>
  <c r="F192"/>
  <c r="Q193"/>
  <c r="Q38"/>
  <c r="Q178"/>
  <c r="Q146"/>
  <c r="Q165"/>
  <c r="Q170"/>
  <c r="Q172"/>
  <c r="Q181"/>
  <c r="K192"/>
  <c r="K191" s="1"/>
  <c r="F98"/>
  <c r="F203"/>
  <c r="F201" s="1"/>
  <c r="G138"/>
  <c r="G137" s="1"/>
  <c r="K141"/>
  <c r="K138" s="1"/>
  <c r="K137" s="1"/>
  <c r="F179"/>
  <c r="P50"/>
  <c r="F138"/>
  <c r="K125" l="1"/>
  <c r="K124" s="1"/>
  <c r="K86"/>
  <c r="F87"/>
  <c r="Q87" s="1"/>
  <c r="J86"/>
  <c r="J212" s="1"/>
  <c r="M212"/>
  <c r="K50"/>
  <c r="Q98"/>
  <c r="Q133"/>
  <c r="Q127"/>
  <c r="H212"/>
  <c r="Q179"/>
  <c r="Q203"/>
  <c r="Q192"/>
  <c r="F191"/>
  <c r="Q191" s="1"/>
  <c r="Q141"/>
  <c r="F51"/>
  <c r="G50"/>
  <c r="G212" s="1"/>
  <c r="F13"/>
  <c r="Q138"/>
  <c r="F137"/>
  <c r="F151"/>
  <c r="Q125" l="1"/>
  <c r="Q124" s="1"/>
  <c r="Q137"/>
  <c r="F86"/>
  <c r="Q86" s="1"/>
  <c r="F150"/>
  <c r="F200"/>
  <c r="Q201"/>
  <c r="Q13"/>
  <c r="F12"/>
  <c r="F50"/>
  <c r="Q50" s="1"/>
  <c r="Q51"/>
  <c r="Q200" l="1"/>
  <c r="F212"/>
  <c r="Q12"/>
  <c r="L150"/>
  <c r="L212" s="1"/>
  <c r="P161"/>
  <c r="P151" s="1"/>
  <c r="P150" s="1"/>
  <c r="P212" s="1"/>
  <c r="K212" s="1"/>
  <c r="Q212" l="1"/>
  <c r="K161"/>
  <c r="Q161" l="1"/>
  <c r="K151"/>
  <c r="Q151" l="1"/>
  <c r="K150"/>
  <c r="Q150" s="1"/>
</calcChain>
</file>

<file path=xl/sharedStrings.xml><?xml version="1.0" encoding="utf-8"?>
<sst xmlns="http://schemas.openxmlformats.org/spreadsheetml/2006/main" count="833" uniqueCount="575">
  <si>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</si>
  <si>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</si>
  <si>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</si>
  <si>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</si>
  <si>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</si>
  <si>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</si>
  <si>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</si>
  <si>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</si>
  <si>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</si>
  <si>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</si>
  <si>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</si>
  <si>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</si>
  <si>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</si>
  <si>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</si>
  <si>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</si>
  <si>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</si>
  <si>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</si>
  <si>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</si>
  <si>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</si>
  <si>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</si>
  <si>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</si>
  <si>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</si>
  <si>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</si>
  <si>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</si>
  <si>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</si>
  <si>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</si>
  <si>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</si>
  <si>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</si>
  <si>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</si>
  <si>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</si>
  <si>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</si>
  <si>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</si>
  <si>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</si>
  <si>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</si>
  <si>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</si>
  <si>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</si>
  <si>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</si>
  <si>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</si>
  <si>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</si>
  <si>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</si>
  <si>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</si>
  <si>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</si>
  <si>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</si>
  <si>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</si>
  <si>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</si>
  <si>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</si>
  <si>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</si>
  <si>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</si>
  <si>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</si>
  <si>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</si>
  <si>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</si>
  <si>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</si>
  <si>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</si>
  <si>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</si>
  <si>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</si>
  <si>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</si>
  <si>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</si>
  <si>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</si>
  <si>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</si>
  <si>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</si>
  <si>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</si>
  <si>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</si>
  <si>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</si>
  <si>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</si>
  <si>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</si>
  <si>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</si>
  <si>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</si>
  <si>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</si>
  <si>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</si>
  <si>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</si>
  <si>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</si>
  <si>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</si>
  <si>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</si>
  <si>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</si>
  <si>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</si>
  <si>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</si>
  <si>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</si>
  <si>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</si>
  <si>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</si>
  <si>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</si>
  <si>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</si>
  <si>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</si>
  <si>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</si>
  <si>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</si>
  <si>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</si>
  <si>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</si>
  <si>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</si>
  <si>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</si>
  <si>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</si>
  <si>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</si>
  <si>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</si>
  <si>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</si>
  <si>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</si>
  <si>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</si>
  <si>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</si>
  <si>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</si>
  <si>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</si>
  <si>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</si>
  <si>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</si>
  <si>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</si>
  <si>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</si>
  <si>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</si>
  <si>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</si>
  <si>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</si>
  <si>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</si>
  <si>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</si>
  <si>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</si>
  <si>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</si>
  <si>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</si>
  <si>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</si>
  <si>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</si>
  <si>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</si>
  <si>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</si>
  <si>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</si>
  <si>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</si>
  <si>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0212010</t>
  </si>
  <si>
    <t>0212141</t>
  </si>
  <si>
    <t>0212142</t>
  </si>
  <si>
    <t>0212143</t>
  </si>
  <si>
    <t>0212100</t>
  </si>
  <si>
    <t>0212030</t>
  </si>
  <si>
    <t>0213112</t>
  </si>
  <si>
    <t>0213122</t>
  </si>
  <si>
    <t>0213131</t>
  </si>
  <si>
    <t>0218110</t>
  </si>
  <si>
    <t>0218410</t>
  </si>
  <si>
    <t>0218420</t>
  </si>
  <si>
    <t>0217610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</si>
  <si>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</si>
  <si>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</si>
  <si>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</si>
  <si>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</si>
  <si>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</si>
  <si>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</si>
  <si>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</si>
  <si>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</si>
  <si>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</si>
  <si>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</si>
  <si>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</si>
  <si>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</si>
  <si>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</si>
  <si>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0611150</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</si>
  <si>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</si>
  <si>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</si>
  <si>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</si>
  <si>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</si>
  <si>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</si>
  <si>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</si>
  <si>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</si>
  <si>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</si>
  <si>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</si>
  <si>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</si>
  <si>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</si>
  <si>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</si>
  <si>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</si>
  <si>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</si>
  <si>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</si>
  <si>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</si>
  <si>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</si>
  <si>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</si>
  <si>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</si>
  <si>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</si>
  <si>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</si>
  <si>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</si>
  <si>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</si>
  <si>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</si>
  <si>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</si>
  <si>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0813104</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</si>
  <si>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</si>
  <si>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</si>
  <si>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</si>
  <si>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</si>
  <si>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</si>
  <si>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</si>
  <si>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</si>
  <si>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</si>
  <si>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</si>
  <si>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</si>
  <si>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</si>
  <si>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</si>
  <si>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</si>
  <si>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</si>
  <si>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</si>
  <si>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</si>
  <si>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</si>
  <si>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</si>
  <si>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</si>
  <si>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</si>
  <si>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</si>
  <si>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</si>
  <si>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</si>
  <si>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</si>
  <si>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</si>
  <si>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</si>
  <si>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</si>
  <si>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</si>
  <si>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</si>
  <si>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</si>
  <si>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</si>
  <si>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</si>
  <si>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</si>
  <si>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</si>
  <si>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</si>
  <si>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 xml:space="preserve">Надання інших пільг окремим категоріям  громадян відповідно до  законодавства </t>
  </si>
  <si>
    <t>0212111</t>
  </si>
  <si>
    <t>0726</t>
  </si>
  <si>
    <t>0212151</t>
  </si>
  <si>
    <t>0212152</t>
  </si>
  <si>
    <t>0213242</t>
  </si>
  <si>
    <t>Інші заходи у сфері соціального захисту і соціального забезпечення</t>
  </si>
  <si>
    <t>Забезпечення діяльності інших закладів у сфері освіти</t>
  </si>
  <si>
    <t>Видатки на поховання учасників бойових дій та осіб з інвалідністю внаслідок  війни</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</si>
  <si>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</si>
  <si>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</si>
  <si>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</si>
  <si>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</si>
  <si>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</si>
  <si>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</si>
  <si>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</si>
  <si>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</si>
  <si>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</si>
  <si>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</si>
  <si>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</si>
  <si>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</si>
  <si>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</si>
  <si>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</si>
  <si>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</si>
  <si>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</si>
  <si>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</si>
  <si>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</si>
  <si>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</si>
  <si>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</si>
  <si>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</si>
  <si>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</si>
  <si>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</si>
  <si>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</si>
  <si>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</si>
  <si>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</si>
  <si>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</si>
  <si>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</si>
  <si>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</si>
  <si>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</si>
  <si>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</si>
  <si>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</si>
  <si>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</si>
  <si>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</si>
  <si>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</si>
  <si>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</si>
  <si>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</si>
  <si>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</si>
  <si>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</si>
  <si>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</si>
  <si>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</si>
  <si>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</si>
  <si>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</si>
  <si>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</si>
  <si>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0180</t>
  </si>
  <si>
    <t>1217340</t>
  </si>
  <si>
    <t>1210180</t>
  </si>
  <si>
    <t>1117363</t>
  </si>
  <si>
    <t>3719770</t>
  </si>
  <si>
    <t>Інші субвенції з місцевого бюджету</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</si>
  <si>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</si>
  <si>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</si>
  <si>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</si>
  <si>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</si>
  <si>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</si>
  <si>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</si>
  <si>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</si>
  <si>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Спеціальний фонд</t>
  </si>
  <si>
    <t xml:space="preserve">у тому числі бюджет розвитку </t>
  </si>
  <si>
    <t>Забезпечення  діяльності інших закладів у сфері охорони здоров’я</t>
  </si>
  <si>
    <t>Інші програми та заходи у сфері охорони здоров’я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</si>
  <si>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</si>
  <si>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</si>
  <si>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</si>
  <si>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</si>
  <si>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1110180</t>
  </si>
  <si>
    <t>Організація та проведення громадських робіт</t>
  </si>
  <si>
    <t>1050</t>
  </si>
  <si>
    <t>0813210</t>
  </si>
  <si>
    <t>1213210</t>
  </si>
  <si>
    <t>3718600</t>
  </si>
  <si>
    <t>0170</t>
  </si>
  <si>
    <t>Обслуговування місцевого боргу</t>
  </si>
  <si>
    <t>0610</t>
  </si>
  <si>
    <t>0216082</t>
  </si>
  <si>
    <t>Придбання  житла для окремих категорій населення відповідно до законодавства</t>
  </si>
  <si>
    <t>0617370</t>
  </si>
  <si>
    <t>Реалізація інших заходів щодо соціально- економічного розвитку територій</t>
  </si>
  <si>
    <t xml:space="preserve">                                                           Розподіл </t>
  </si>
  <si>
    <t>1017363</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</si>
  <si>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</si>
  <si>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</si>
  <si>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</si>
  <si>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</si>
  <si>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</si>
  <si>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</si>
  <si>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0217670</t>
  </si>
  <si>
    <t>3718500</t>
  </si>
  <si>
    <t>Нерозподілені трансферти з державного бюджету</t>
  </si>
  <si>
    <t>0617130</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</si>
  <si>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</si>
  <si>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</si>
  <si>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</si>
  <si>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</si>
  <si>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</si>
  <si>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</si>
  <si>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</si>
  <si>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</si>
  <si>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</si>
  <si>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</si>
  <si>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Інші заходи та заклади молодіжної політики</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</si>
  <si>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</si>
  <si>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</si>
  <si>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Код  програмної класифікації видатків та кредитування місцевого бюджету </t>
  </si>
  <si>
    <t>0160</t>
  </si>
  <si>
    <t>2010</t>
  </si>
  <si>
    <t>2030</t>
  </si>
  <si>
    <t>2100</t>
  </si>
  <si>
    <t>2111</t>
  </si>
  <si>
    <t>2141</t>
  </si>
  <si>
    <t>2142</t>
  </si>
  <si>
    <t>2143</t>
  </si>
  <si>
    <t>2146</t>
  </si>
  <si>
    <t>2151</t>
  </si>
  <si>
    <t>2152</t>
  </si>
  <si>
    <t>3112</t>
  </si>
  <si>
    <t>3122</t>
  </si>
  <si>
    <t>3131</t>
  </si>
  <si>
    <t>3133</t>
  </si>
  <si>
    <t>3242</t>
  </si>
  <si>
    <t>6082</t>
  </si>
  <si>
    <t>7130</t>
  </si>
  <si>
    <t>7363</t>
  </si>
  <si>
    <t>7610</t>
  </si>
  <si>
    <t>7640</t>
  </si>
  <si>
    <t>7670</t>
  </si>
  <si>
    <t>7680</t>
  </si>
  <si>
    <t>8110</t>
  </si>
  <si>
    <t>8410</t>
  </si>
  <si>
    <t>8420</t>
  </si>
  <si>
    <t>1150</t>
  </si>
  <si>
    <t>5031</t>
  </si>
  <si>
    <t>7370</t>
  </si>
  <si>
    <t>8120</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</si>
  <si>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</si>
  <si>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</si>
  <si>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</si>
  <si>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</si>
  <si>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</si>
  <si>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</si>
  <si>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</si>
  <si>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</si>
  <si>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</si>
  <si>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</si>
  <si>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</si>
  <si>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</si>
  <si>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</si>
  <si>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</si>
  <si>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</si>
  <si>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</si>
  <si>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</si>
  <si>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</si>
  <si>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</si>
  <si>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</si>
  <si>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</si>
  <si>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</si>
  <si>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</si>
  <si>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3090</t>
  </si>
  <si>
    <t>3104</t>
  </si>
  <si>
    <t>3160</t>
  </si>
  <si>
    <t>3180</t>
  </si>
  <si>
    <t>3192</t>
  </si>
  <si>
    <t>3210</t>
  </si>
  <si>
    <t>101000</t>
  </si>
  <si>
    <t>4030</t>
  </si>
  <si>
    <t>4040</t>
  </si>
  <si>
    <t>4060</t>
  </si>
  <si>
    <t>4081</t>
  </si>
  <si>
    <t>4082</t>
  </si>
  <si>
    <t>5011</t>
  </si>
  <si>
    <t>5012</t>
  </si>
  <si>
    <t>5032</t>
  </si>
  <si>
    <t>5061</t>
  </si>
  <si>
    <t>5045</t>
  </si>
  <si>
    <t>6010</t>
  </si>
  <si>
    <t>6011</t>
  </si>
  <si>
    <t>6013</t>
  </si>
  <si>
    <t>6017</t>
  </si>
  <si>
    <t>6020</t>
  </si>
  <si>
    <t>6030</t>
  </si>
  <si>
    <t>7310</t>
  </si>
  <si>
    <t>7325</t>
  </si>
  <si>
    <t>7330</t>
  </si>
  <si>
    <t>7340</t>
  </si>
  <si>
    <t>7350</t>
  </si>
  <si>
    <t>7361</t>
  </si>
  <si>
    <t>7362</t>
  </si>
  <si>
    <t>7461</t>
  </si>
  <si>
    <t>8311</t>
  </si>
  <si>
    <t>7650</t>
  </si>
  <si>
    <t>7660</t>
  </si>
  <si>
    <t>8500</t>
  </si>
  <si>
    <t>8600</t>
  </si>
  <si>
    <t>9770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</si>
  <si>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</si>
  <si>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</si>
  <si>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</si>
  <si>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</si>
  <si>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</si>
  <si>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</si>
  <si>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</si>
  <si>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</si>
  <si>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</si>
  <si>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</si>
  <si>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</si>
  <si>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</si>
  <si>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</si>
  <si>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</si>
  <si>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6016</t>
  </si>
  <si>
    <t>Впровадження засобів обліку витрат та регулювання споживання води та теплової енергії</t>
  </si>
  <si>
    <t>1217520</t>
  </si>
  <si>
    <t>1217640</t>
  </si>
  <si>
    <t>1218220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</si>
  <si>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</si>
  <si>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</si>
  <si>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</si>
  <si>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0813040</t>
  </si>
  <si>
    <t>Управління  соціального захисту населення  міської ради</t>
  </si>
  <si>
    <t>(код бюджету)</t>
  </si>
  <si>
    <t>3121</t>
  </si>
  <si>
    <t>Управління комунального майна  та земельних відносин</t>
  </si>
  <si>
    <t xml:space="preserve">Виконання інвестиційних  проектів в рамках здійснення заходів щодо  соціально - економічного  розвитку окремих територій           </t>
  </si>
  <si>
    <t>Первинна медична допомога населенню, що надається центрами первинної медичної (медико-санітарної) допомоги</t>
  </si>
  <si>
    <t>1217693</t>
  </si>
  <si>
    <t>7693</t>
  </si>
  <si>
    <t>Інші заходи, пов’язані з економічною діяльністю</t>
  </si>
  <si>
    <t>1218330</t>
  </si>
  <si>
    <t>8330</t>
  </si>
  <si>
    <t>0540</t>
  </si>
  <si>
    <t>Інша діяльність у сфері екології та охорони природних ресурсів</t>
  </si>
  <si>
    <t>Будівництво мультифункціональних  майданчиків для занять ігровими  видами  спорту</t>
  </si>
  <si>
    <t xml:space="preserve"> Експлуатація та технічне обслуговування житлового фонду</t>
  </si>
  <si>
    <t>1115031</t>
  </si>
  <si>
    <t>оплата праці   (2110)</t>
  </si>
  <si>
    <t>оплата праці                (2110)</t>
  </si>
  <si>
    <t>1217369</t>
  </si>
  <si>
    <t>7369</t>
  </si>
  <si>
    <t>Реалізація проектів  з реконструкції, капремонту приймальних відділень в опорних  закладах охорони здоров’я у госпітальних округах</t>
  </si>
  <si>
    <t>0218210</t>
  </si>
  <si>
    <t>8210</t>
  </si>
  <si>
    <t>Муніципальні формування з охорони громадського порядку</t>
  </si>
  <si>
    <t>Керівництво і управління у відповідній сфері у містах (місті Києві), селищах, селах, територіальних громадах</t>
  </si>
  <si>
    <t>Керівництво і управління у відповідній сфері у містах ( місті Києві), селищах, селах, територіальних громадах</t>
  </si>
  <si>
    <t>1021</t>
  </si>
  <si>
    <t>0611021</t>
  </si>
  <si>
    <t>0611030</t>
  </si>
  <si>
    <t>0611031</t>
  </si>
  <si>
    <t>1031</t>
  </si>
  <si>
    <t>0611040</t>
  </si>
  <si>
    <t>0611041</t>
  </si>
  <si>
    <t>1041</t>
  </si>
  <si>
    <t>0611050</t>
  </si>
  <si>
    <t>0611051</t>
  </si>
  <si>
    <t>1051</t>
  </si>
  <si>
    <t>0611070</t>
  </si>
  <si>
    <t>Надання позашкільної освіти закладами позашкільної освіти, заходи із позашкільної роботи з дітьми</t>
  </si>
  <si>
    <t>1011080</t>
  </si>
  <si>
    <t>1080</t>
  </si>
  <si>
    <t>1141</t>
  </si>
  <si>
    <t>0611142</t>
  </si>
  <si>
    <t>1142</t>
  </si>
  <si>
    <t>Забезпечення діяльності інклюзивно-ресурсних центрів</t>
  </si>
  <si>
    <t>0611151</t>
  </si>
  <si>
    <t>0611152</t>
  </si>
  <si>
    <t>0611153</t>
  </si>
  <si>
    <t>0611154</t>
  </si>
  <si>
    <t>1151</t>
  </si>
  <si>
    <t>1152</t>
  </si>
  <si>
    <t>1153</t>
  </si>
  <si>
    <t>1154</t>
  </si>
  <si>
    <t>Забезпечення діяльності інклюзивно-ресурсних центрів за рахунок коштів місцевого бюджету</t>
  </si>
  <si>
    <t xml:space="preserve">Забезпечення діяльності інклюзивно-ресурсних центрів за рахунок освітньої субвенції </t>
  </si>
  <si>
    <t>0611160</t>
  </si>
  <si>
    <t>1160</t>
  </si>
  <si>
    <t>Забезпечення діяльності центрів професійного розвитку педагогічних працівників</t>
  </si>
  <si>
    <t>0611180</t>
  </si>
  <si>
    <t>1180</t>
  </si>
  <si>
    <t>Виконання заходів, спрямованих на забезпечення якісної, сучасної та доступної загальної середньої освіти «Нова українська школа»</t>
  </si>
  <si>
    <t>0611181</t>
  </si>
  <si>
    <t>1181</t>
  </si>
  <si>
    <t>1182</t>
  </si>
  <si>
    <t>0611182</t>
  </si>
  <si>
    <t>1200</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</si>
  <si>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</si>
  <si>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0611200</t>
  </si>
  <si>
    <t>0611210</t>
  </si>
  <si>
    <t>1210</t>
  </si>
  <si>
    <t>Утримання та забезпечення діяльності центрів соціальних служб</t>
  </si>
  <si>
    <t>Компенсаційні виплати  за пільговий проїзд  окремим категоріям  громадян на залізничному транспорті</t>
  </si>
  <si>
    <t>Надання фінансової підтримки громадським об’єднанням ветеранів і осіб з інвалідністю,ідіяльність яких має соціальну спрямованість</t>
  </si>
  <si>
    <t>Керівництво і управління у відповідній сфері у містах (місті Києві), селищах, селах,  територіальних громадах</t>
  </si>
  <si>
    <t>3718710</t>
  </si>
  <si>
    <t>1017340</t>
  </si>
  <si>
    <t>Проектування, реставрація та охорона пам'яток архітектури</t>
  </si>
  <si>
    <r>
      <t xml:space="preserve">Код Типової програмної класифікації видатків та кредитування місцевого бюджету       </t>
    </r>
    <r>
      <rPr>
        <b/>
        <sz val="16"/>
        <rFont val="Times New Roman"/>
        <family val="1"/>
        <charset val="204"/>
      </rPr>
      <t xml:space="preserve">           </t>
    </r>
  </si>
  <si>
    <r>
      <t>Будівництво</t>
    </r>
    <r>
      <rPr>
        <vertAlign val="superscript"/>
        <sz val="18"/>
        <rFont val="Times New Roman"/>
        <family val="1"/>
        <charset val="204"/>
      </rPr>
      <t>1</t>
    </r>
    <r>
      <rPr>
        <sz val="18"/>
        <rFont val="Times New Roman"/>
        <family val="1"/>
        <charset val="204"/>
      </rPr>
      <t xml:space="preserve"> об'єктів житлово-комунального господарства</t>
    </r>
  </si>
  <si>
    <r>
      <t>Будівництво</t>
    </r>
    <r>
      <rPr>
        <vertAlign val="superscript"/>
        <sz val="18"/>
        <rFont val="Times New Roman"/>
        <family val="1"/>
        <charset val="204"/>
      </rPr>
      <t>1</t>
    </r>
    <r>
      <rPr>
        <sz val="18"/>
        <rFont val="Times New Roman"/>
        <family val="1"/>
        <charset val="204"/>
      </rPr>
      <t xml:space="preserve"> споруд, установ та закладів фізичної культури і спорту</t>
    </r>
  </si>
  <si>
    <t>8710</t>
  </si>
  <si>
    <t>Резервний фонд місцевого бюджету</t>
  </si>
  <si>
    <t xml:space="preserve">                                                Додаток  3</t>
  </si>
  <si>
    <t>0611141</t>
  </si>
  <si>
    <t>0216011</t>
  </si>
  <si>
    <t>Надання спеціалізованої освіти мистецькими школами</t>
  </si>
  <si>
    <t>Виконавчий комітет місцевої ради</t>
  </si>
  <si>
    <t>0213123</t>
  </si>
  <si>
    <t>3123</t>
  </si>
  <si>
    <t>Заходи державної політики з питань сімї’ї</t>
  </si>
  <si>
    <r>
      <t>Надання загальної середньої освіти за рахунок</t>
    </r>
    <r>
      <rPr>
        <b/>
        <sz val="18"/>
        <rFont val="Times New Roman"/>
        <family val="1"/>
        <charset val="204"/>
      </rPr>
      <t xml:space="preserve"> коштів місцевого бюджету</t>
    </r>
  </si>
  <si>
    <r>
      <t xml:space="preserve">Надання загальної середньої освіти за рахунок </t>
    </r>
    <r>
      <rPr>
        <b/>
        <sz val="18"/>
        <rFont val="Times New Roman"/>
        <family val="1"/>
        <charset val="204"/>
      </rPr>
      <t xml:space="preserve">освітньої субвенції </t>
    </r>
  </si>
  <si>
    <r>
      <rPr>
        <b/>
        <i/>
        <sz val="18"/>
        <rFont val="Times New Roman"/>
        <family val="1"/>
        <charset val="204"/>
      </rPr>
      <t>Співфінансування заходів,</t>
    </r>
    <r>
      <rPr>
        <i/>
        <sz val="18"/>
        <rFont val="Times New Roman"/>
        <family val="1"/>
        <charset val="204"/>
      </rPr>
      <t xml:space="preserve">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r>
  </si>
  <si>
    <r>
      <t xml:space="preserve">Виконання заходів, спрямованих на забезпечення якісної, сучасної та доступної загальної середньої освіти «Нова українська школа» за рахунок </t>
    </r>
    <r>
      <rPr>
        <b/>
        <i/>
        <sz val="18"/>
        <rFont val="Times New Roman"/>
        <family val="1"/>
        <charset val="204"/>
      </rPr>
      <t>субвенції з державного бюджету</t>
    </r>
    <r>
      <rPr>
        <i/>
        <sz val="18"/>
        <rFont val="Times New Roman"/>
        <family val="1"/>
        <charset val="204"/>
      </rPr>
      <t xml:space="preserve"> місцевим бюджетам</t>
    </r>
  </si>
  <si>
    <t>0813121</t>
  </si>
  <si>
    <t>1117325</t>
  </si>
  <si>
    <t>Будівництво1споруд, установ та закладів фізичної культури і спортц</t>
  </si>
  <si>
    <t>0218240</t>
  </si>
  <si>
    <t>8240</t>
  </si>
  <si>
    <t>030</t>
  </si>
  <si>
    <t>Заходи та роботи з територіальної оборони</t>
  </si>
  <si>
    <t>0217322</t>
  </si>
  <si>
    <t>7322</t>
  </si>
  <si>
    <t xml:space="preserve">Будівництво -1 медичних установ та закладів </t>
  </si>
  <si>
    <t>3719110</t>
  </si>
  <si>
    <t>9110</t>
  </si>
  <si>
    <t>Реверсна дотація</t>
  </si>
  <si>
    <t xml:space="preserve">             до рішення Ніжинської  міської ради                 </t>
  </si>
  <si>
    <t>0617321</t>
  </si>
  <si>
    <t>7321</t>
  </si>
  <si>
    <t>Будівництво освітніх установ та закладів</t>
  </si>
  <si>
    <t>Будівництво медичних установ та закладів</t>
  </si>
  <si>
    <t>Будівництво інших об'єктів комунальної власності</t>
  </si>
  <si>
    <t xml:space="preserve">                                 видатків   бюджету   Ніжинської  міської  територіальної громади на 2023 рік</t>
  </si>
  <si>
    <t>Надання загальної середньої освіти закладами загальної середньої освіти за рахунок місцевого бюджету</t>
  </si>
  <si>
    <t>Надання загальної середньої освіти закладами загальної середньої освіти за рахунок освітньої субвенції</t>
  </si>
  <si>
    <t>Надання загальної середньої освіти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t>
  </si>
  <si>
    <t>Закупівля товарів, робіт і послуг, необхідних для забезпечення безпечного навчального процесу у закладах загальної середньої освіти, за рахунок залишку коштів за освітньою субвенцією на кінець бюджетного періоду (COVID-19)</t>
  </si>
  <si>
    <t>Надання загальної середньої освіти закладами загальної середньої освіти за рахунок залишку коштів за освітньою субвенцією на кінець бюджетного періоду (COVID-19)</t>
  </si>
  <si>
    <t>Забезпечення діяльності інклюзивно-ресурсних центрів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t>
  </si>
  <si>
    <t>Забезпечення діяльності інклюзивно-ресурсних центрів за рахунок залишку коштів за освітньою субвенцією на кінець бюджетного періоду (крім залишку коштів, що мають цільове призначення, виділених відповідно до рішень Кабінету Міністрів України у попередніх бюджетних періодах)</t>
  </si>
  <si>
    <t>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 на кінець бюджетного періоду</t>
  </si>
  <si>
    <t xml:space="preserve">Надання загальної середньої освіти закладами загальної середньої освіти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t>
  </si>
  <si>
    <t xml:space="preserve">Субвенція з місцевого бюджету державному на виконання програм соціально- економічного  розвитку регіонів </t>
  </si>
  <si>
    <t>3719800</t>
  </si>
  <si>
    <t>9800</t>
  </si>
  <si>
    <t>Інші субвенції з  місцевого бюджету</t>
  </si>
  <si>
    <t>1218240</t>
  </si>
  <si>
    <t>1115049</t>
  </si>
  <si>
    <t>5049</t>
  </si>
  <si>
    <t>Виконання окремих заходів з реалізації соціального проекту " Активні парки - локації здорової України"</t>
  </si>
  <si>
    <t>0217330</t>
  </si>
  <si>
    <t>0611261</t>
  </si>
  <si>
    <t>1261</t>
  </si>
  <si>
    <t>0611262</t>
  </si>
  <si>
    <t>1262</t>
  </si>
  <si>
    <t>Співфінансування заходів, що реалізуються за рахунок субвенції з державного бюджету місцевим бюджетам на облаштування  безпечних умов у закладах загальної середньої освіти</t>
  </si>
  <si>
    <t>Виконання заходів щодо облаштування  безпечних умов у закладах загальної середньої освіти за рахунок субвенції з державного бюджету місцевим бюджетам</t>
  </si>
  <si>
    <t>1211262</t>
  </si>
  <si>
    <t>1217700</t>
  </si>
  <si>
    <t>7700</t>
  </si>
  <si>
    <t>Реалізація програм допомоги і грантів Європейського Союзу, урядів іноземних держав, міжнародних організацій, донорських установ</t>
  </si>
  <si>
    <t>1211261</t>
  </si>
  <si>
    <t>Співфінансування заходів, що реалізуються за рахунок субвенції з державного бюджету місцевим бюджетам на облаштування безпечних умов у закладах ЗЗСО</t>
  </si>
  <si>
    <t>Міський голова                                                                                         Олександр КОДОЛА</t>
  </si>
  <si>
    <t xml:space="preserve">       від  28 вересня  2023 року № 6-33/2023</t>
  </si>
</sst>
</file>

<file path=xl/styles.xml><?xml version="1.0" encoding="utf-8"?>
<styleSheet xmlns="http://schemas.openxmlformats.org/spreadsheetml/2006/main">
  <numFmts count="3">
    <numFmt numFmtId="164" formatCode="_-* #,##0.00\ _₽_-;\-* #,##0.00\ _₽_-;_-* &quot;-&quot;??\ _₽_-;_-@_-"/>
    <numFmt numFmtId="165" formatCode="_-* #,##0.00&quot;грн.&quot;_-;\-* #,##0.00&quot;грн.&quot;_-;_-* &quot;-&quot;??&quot;грн.&quot;_-;_-@_-"/>
    <numFmt numFmtId="166" formatCode="000000"/>
  </numFmts>
  <fonts count="33">
    <font>
      <sz val="10"/>
      <name val="Arial Cyr"/>
      <charset val="204"/>
    </font>
    <font>
      <sz val="10"/>
      <name val="Arial Cyr"/>
      <charset val="204"/>
    </font>
    <font>
      <b/>
      <sz val="14"/>
      <name val="Times New Roman"/>
      <family val="1"/>
      <charset val="204"/>
    </font>
    <font>
      <b/>
      <sz val="12"/>
      <name val="Times New Roman"/>
      <family val="1"/>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10"/>
      <name val="Times New Roman"/>
      <family val="1"/>
      <charset val="204"/>
    </font>
    <font>
      <sz val="16"/>
      <name val="Times New Roman"/>
      <family val="1"/>
      <charset val="204"/>
    </font>
    <font>
      <b/>
      <sz val="16"/>
      <name val="Times New Roman"/>
      <family val="1"/>
      <charset val="204"/>
    </font>
    <font>
      <b/>
      <sz val="18"/>
      <name val="Times New Roman"/>
      <family val="1"/>
      <charset val="204"/>
    </font>
    <font>
      <b/>
      <sz val="20"/>
      <name val="Times New Roman"/>
      <family val="1"/>
      <charset val="204"/>
    </font>
    <font>
      <sz val="20"/>
      <name val="Times New Roman"/>
      <family val="1"/>
      <charset val="204"/>
    </font>
    <font>
      <sz val="18"/>
      <name val="Times New Roman"/>
      <family val="1"/>
      <charset val="204"/>
    </font>
    <font>
      <i/>
      <sz val="18"/>
      <name val="Times New Roman"/>
      <family val="1"/>
      <charset val="204"/>
    </font>
    <font>
      <b/>
      <sz val="22"/>
      <name val="Times New Roman"/>
      <family val="1"/>
      <charset val="204"/>
    </font>
    <font>
      <vertAlign val="superscript"/>
      <sz val="18"/>
      <name val="Times New Roman"/>
      <family val="1"/>
      <charset val="204"/>
    </font>
    <font>
      <sz val="26"/>
      <name val="Times New Roman"/>
      <family val="1"/>
      <charset val="204"/>
    </font>
    <font>
      <b/>
      <i/>
      <sz val="18"/>
      <name val="Times New Roman"/>
      <family val="1"/>
      <charset val="204"/>
    </font>
    <font>
      <b/>
      <sz val="24"/>
      <name val="Times New Roman"/>
      <family val="1"/>
      <charset val="204"/>
    </font>
    <font>
      <sz val="24"/>
      <name val="Times New Roman"/>
      <family val="1"/>
      <charset val="204"/>
    </font>
    <font>
      <sz val="22"/>
      <name val="Times New Roman"/>
      <family val="1"/>
      <charset val="204"/>
    </font>
    <font>
      <b/>
      <sz val="26"/>
      <name val="Times New Roman"/>
      <family val="1"/>
      <charset val="204"/>
    </font>
    <font>
      <b/>
      <sz val="28"/>
      <name val="Times New Roman"/>
      <family val="1"/>
      <charset val="204"/>
    </font>
    <font>
      <b/>
      <i/>
      <sz val="24"/>
      <name val="Times New Roman"/>
      <family val="1"/>
      <charset val="204"/>
    </font>
    <font>
      <i/>
      <sz val="24"/>
      <name val="Times New Roman"/>
      <family val="1"/>
      <charset val="204"/>
    </font>
    <font>
      <sz val="28"/>
      <name val="Times New Roman"/>
      <family val="1"/>
      <charset val="204"/>
    </font>
    <font>
      <sz val="26"/>
      <name val="Arial Cyr"/>
      <charset val="204"/>
    </font>
    <font>
      <sz val="18"/>
      <name val="Arial Cyr"/>
      <family val="2"/>
      <charset val="204"/>
    </font>
    <font>
      <sz val="11"/>
      <color rgb="FF333333"/>
      <name val="Times New Roman"/>
      <family val="1"/>
      <charset val="204"/>
    </font>
    <font>
      <b/>
      <i/>
      <sz val="18"/>
      <color rgb="FF333333"/>
      <name val="Times New Roman"/>
      <family val="1"/>
      <charset val="204"/>
    </font>
    <font>
      <sz val="32"/>
      <name val="Times New Roman"/>
      <family val="1"/>
      <charset val="204"/>
    </font>
  </fonts>
  <fills count="6">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
      <patternFill patternType="solid">
        <fgColor rgb="FFFFFFFF"/>
        <bgColor indexed="64"/>
      </patternFill>
    </fill>
  </fills>
  <borders count="27">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style="dashed">
        <color indexed="64"/>
      </left>
      <right style="dashed">
        <color indexed="64"/>
      </right>
      <top style="dashed">
        <color indexed="64"/>
      </top>
      <bottom style="dashed">
        <color indexed="64"/>
      </bottom>
      <diagonal/>
    </border>
    <border>
      <left style="hair">
        <color indexed="64"/>
      </left>
      <right/>
      <top/>
      <bottom/>
      <diagonal/>
    </border>
    <border>
      <left style="hair">
        <color indexed="64"/>
      </left>
      <right/>
      <top/>
      <bottom style="hair">
        <color indexed="64"/>
      </bottom>
      <diagonal/>
    </border>
    <border>
      <left style="dashed">
        <color rgb="FF000000"/>
      </left>
      <right style="dashed">
        <color rgb="FF000000"/>
      </right>
      <top style="dashed">
        <color rgb="FF000000"/>
      </top>
      <bottom style="dashed">
        <color rgb="FF000000"/>
      </bottom>
      <diagonal/>
    </border>
    <border>
      <left/>
      <right style="medium">
        <color rgb="FF000000"/>
      </right>
      <top style="medium">
        <color rgb="FF000000"/>
      </top>
      <bottom style="medium">
        <color rgb="FF000000"/>
      </bottom>
      <diagonal/>
    </border>
    <border>
      <left style="dotted">
        <color indexed="64"/>
      </left>
      <right style="dotted">
        <color indexed="64"/>
      </right>
      <top style="dotted">
        <color indexed="64"/>
      </top>
      <bottom style="dotted">
        <color indexed="64"/>
      </bottom>
      <diagonal/>
    </border>
    <border>
      <left/>
      <right style="hair">
        <color indexed="64"/>
      </right>
      <top style="hair">
        <color indexed="64"/>
      </top>
      <bottom/>
      <diagonal/>
    </border>
    <border>
      <left style="dotted">
        <color indexed="64"/>
      </left>
      <right style="hair">
        <color indexed="64"/>
      </right>
      <top style="dotted">
        <color indexed="64"/>
      </top>
      <bottom/>
      <diagonal/>
    </border>
    <border>
      <left style="hair">
        <color indexed="64"/>
      </left>
      <right style="hair">
        <color indexed="64"/>
      </right>
      <top style="dotted">
        <color indexed="64"/>
      </top>
      <bottom/>
      <diagonal/>
    </border>
    <border>
      <left style="hair">
        <color indexed="64"/>
      </left>
      <right style="dotted">
        <color indexed="64"/>
      </right>
      <top style="dotted">
        <color indexed="64"/>
      </top>
      <bottom/>
      <diagonal/>
    </border>
    <border>
      <left style="dotted">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dotted">
        <color indexed="64"/>
      </right>
      <top style="dotted">
        <color indexed="64"/>
      </top>
      <bottom style="dotted">
        <color indexed="64"/>
      </bottom>
      <diagonal/>
    </border>
    <border>
      <left style="dotted">
        <color indexed="64"/>
      </left>
      <right/>
      <top style="thin">
        <color indexed="64"/>
      </top>
      <bottom style="dotted">
        <color indexed="64"/>
      </bottom>
      <diagonal/>
    </border>
    <border>
      <left/>
      <right style="dotted">
        <color indexed="64"/>
      </right>
      <top style="dotted">
        <color indexed="64"/>
      </top>
      <bottom style="dotted">
        <color indexed="64"/>
      </bottom>
      <diagonal/>
    </border>
    <border>
      <left/>
      <right/>
      <top style="thin">
        <color indexed="64"/>
      </top>
      <bottom style="dotted">
        <color indexed="64"/>
      </bottom>
      <diagonal/>
    </border>
  </borders>
  <cellStyleXfs count="3">
    <xf numFmtId="0" fontId="0" fillId="0" borderId="0"/>
    <xf numFmtId="165" fontId="1" fillId="0" borderId="0" applyFont="0" applyFill="0" applyBorder="0" applyAlignment="0" applyProtection="0"/>
    <xf numFmtId="164" fontId="1" fillId="0" borderId="0" applyFont="0" applyFill="0" applyBorder="0" applyAlignment="0" applyProtection="0"/>
  </cellStyleXfs>
  <cellXfs count="186">
    <xf numFmtId="0" fontId="0" fillId="0" borderId="0" xfId="0"/>
    <xf numFmtId="1" fontId="4" fillId="0" borderId="1" xfId="0" applyNumberFormat="1" applyFont="1" applyFill="1" applyBorder="1" applyAlignment="1" applyProtection="1">
      <alignment vertical="center" wrapText="1"/>
      <protection locked="0"/>
    </xf>
    <xf numFmtId="0" fontId="4" fillId="0" borderId="2" xfId="0" applyFont="1" applyFill="1" applyBorder="1" applyAlignment="1" applyProtection="1">
      <alignment vertical="center" wrapText="1"/>
      <protection locked="0"/>
    </xf>
    <xf numFmtId="0" fontId="4" fillId="0" borderId="1" xfId="0" applyFont="1" applyFill="1" applyBorder="1" applyAlignment="1" applyProtection="1">
      <alignment vertical="center" wrapText="1"/>
      <protection locked="0"/>
    </xf>
    <xf numFmtId="0" fontId="4" fillId="0" borderId="0" xfId="0" applyFont="1" applyFill="1" applyAlignment="1" applyProtection="1">
      <alignment vertical="center" wrapText="1"/>
      <protection locked="0"/>
    </xf>
    <xf numFmtId="0" fontId="4" fillId="0" borderId="1" xfId="0" applyFont="1" applyFill="1" applyBorder="1" applyAlignment="1">
      <alignment horizontal="justify" vertical="center" wrapText="1"/>
    </xf>
    <xf numFmtId="0" fontId="4" fillId="0" borderId="4" xfId="0" applyFont="1" applyFill="1" applyBorder="1" applyAlignment="1" applyProtection="1">
      <alignment vertical="center" wrapText="1"/>
      <protection locked="0"/>
    </xf>
    <xf numFmtId="0" fontId="2" fillId="0" borderId="0" xfId="0" applyFont="1" applyFill="1" applyAlignment="1" applyProtection="1">
      <alignment horizontal="center" vertical="center" wrapText="1"/>
      <protection locked="0"/>
    </xf>
    <xf numFmtId="4" fontId="2" fillId="0" borderId="0" xfId="0" applyNumberFormat="1" applyFont="1" applyFill="1" applyAlignment="1" applyProtection="1">
      <alignment horizontal="center" vertical="center" wrapText="1"/>
      <protection locked="0"/>
    </xf>
    <xf numFmtId="0" fontId="7" fillId="0" borderId="0" xfId="0" applyFont="1" applyFill="1" applyAlignment="1" applyProtection="1">
      <alignment horizontal="center" vertical="center" wrapText="1"/>
      <protection locked="0"/>
    </xf>
    <xf numFmtId="4" fontId="7" fillId="0" borderId="0" xfId="0" applyNumberFormat="1" applyFont="1" applyFill="1" applyAlignment="1" applyProtection="1">
      <alignment horizontal="center" vertical="center" wrapText="1"/>
      <protection locked="0"/>
    </xf>
    <xf numFmtId="0" fontId="6" fillId="0" borderId="0" xfId="0" applyFont="1" applyFill="1" applyAlignment="1" applyProtection="1">
      <alignment vertical="center" wrapText="1"/>
      <protection locked="0"/>
    </xf>
    <xf numFmtId="4" fontId="4" fillId="0" borderId="0" xfId="0" applyNumberFormat="1" applyFont="1" applyFill="1" applyAlignment="1" applyProtection="1">
      <alignment vertical="center" wrapText="1"/>
      <protection locked="0"/>
    </xf>
    <xf numFmtId="1" fontId="2" fillId="0" borderId="0" xfId="0" applyNumberFormat="1" applyFont="1" applyFill="1" applyAlignment="1" applyProtection="1">
      <alignment vertical="center" wrapText="1"/>
      <protection locked="0"/>
    </xf>
    <xf numFmtId="1" fontId="4" fillId="0" borderId="0" xfId="0" applyNumberFormat="1" applyFont="1" applyFill="1" applyAlignment="1" applyProtection="1">
      <alignment vertical="center" wrapText="1"/>
      <protection locked="0"/>
    </xf>
    <xf numFmtId="0" fontId="2" fillId="0" borderId="0" xfId="0" applyFont="1" applyFill="1" applyAlignment="1" applyProtection="1">
      <alignment vertical="center" wrapText="1"/>
      <protection locked="0"/>
    </xf>
    <xf numFmtId="0" fontId="2" fillId="3" borderId="0" xfId="0" applyFont="1" applyFill="1" applyAlignment="1" applyProtection="1">
      <alignment vertical="center" wrapText="1"/>
      <protection locked="0"/>
    </xf>
    <xf numFmtId="0" fontId="2" fillId="0" borderId="0" xfId="0" applyFont="1" applyFill="1" applyAlignment="1" applyProtection="1">
      <alignment vertical="center"/>
      <protection locked="0"/>
    </xf>
    <xf numFmtId="4" fontId="2" fillId="0" borderId="0" xfId="0" applyNumberFormat="1" applyFont="1" applyFill="1" applyAlignment="1" applyProtection="1">
      <alignment vertical="center"/>
      <protection locked="0"/>
    </xf>
    <xf numFmtId="0" fontId="5" fillId="0" borderId="0" xfId="0" applyFont="1" applyFill="1" applyAlignment="1" applyProtection="1">
      <alignment vertical="center"/>
      <protection locked="0"/>
    </xf>
    <xf numFmtId="4" fontId="5" fillId="0" borderId="0" xfId="0" applyNumberFormat="1" applyFont="1" applyFill="1" applyAlignment="1" applyProtection="1">
      <alignment vertical="center"/>
      <protection locked="0"/>
    </xf>
    <xf numFmtId="0" fontId="7" fillId="0" borderId="1" xfId="0" applyFont="1" applyFill="1" applyBorder="1" applyAlignment="1" applyProtection="1">
      <alignment horizontal="center" vertical="center" wrapText="1"/>
      <protection locked="0"/>
    </xf>
    <xf numFmtId="0" fontId="4" fillId="0" borderId="0" xfId="0" applyFont="1" applyFill="1" applyAlignment="1" applyProtection="1">
      <alignment horizontal="right" vertical="center" wrapText="1"/>
      <protection locked="0"/>
    </xf>
    <xf numFmtId="3" fontId="4" fillId="0" borderId="0" xfId="0" applyNumberFormat="1" applyFont="1" applyFill="1" applyAlignment="1" applyProtection="1">
      <alignment horizontal="right" vertical="center" wrapText="1"/>
      <protection locked="0"/>
    </xf>
    <xf numFmtId="0" fontId="2" fillId="0" borderId="0" xfId="0" applyFont="1" applyFill="1" applyAlignment="1" applyProtection="1">
      <alignment horizontal="right" vertical="center" wrapText="1"/>
      <protection locked="0"/>
    </xf>
    <xf numFmtId="0" fontId="4" fillId="0" borderId="0" xfId="0" applyFont="1" applyFill="1" applyBorder="1" applyAlignment="1" applyProtection="1">
      <alignment horizontal="right" vertical="center" wrapText="1"/>
      <protection locked="0"/>
    </xf>
    <xf numFmtId="0" fontId="6" fillId="0" borderId="0" xfId="0" applyFont="1" applyFill="1" applyAlignment="1" applyProtection="1">
      <alignment horizontal="right" vertical="center"/>
      <protection locked="0"/>
    </xf>
    <xf numFmtId="0" fontId="8" fillId="0" borderId="0" xfId="0" applyFont="1" applyFill="1" applyAlignment="1" applyProtection="1">
      <alignment horizontal="center" vertical="center" wrapText="1"/>
      <protection locked="0"/>
    </xf>
    <xf numFmtId="4" fontId="8" fillId="0" borderId="0" xfId="0" applyNumberFormat="1" applyFont="1" applyFill="1" applyAlignment="1" applyProtection="1">
      <alignment horizontal="center" vertical="center" wrapText="1"/>
      <protection locked="0"/>
    </xf>
    <xf numFmtId="0" fontId="4" fillId="0" borderId="1" xfId="0" applyFont="1" applyFill="1" applyBorder="1" applyAlignment="1">
      <alignment vertical="center" wrapText="1"/>
    </xf>
    <xf numFmtId="0" fontId="10" fillId="0" borderId="0" xfId="0" applyFont="1" applyFill="1" applyAlignment="1" applyProtection="1">
      <alignment vertical="center" wrapText="1"/>
      <protection locked="0"/>
    </xf>
    <xf numFmtId="164" fontId="2" fillId="0" borderId="0" xfId="2" applyFont="1" applyFill="1" applyAlignment="1" applyProtection="1">
      <alignment horizontal="center" vertical="center" wrapText="1"/>
      <protection locked="0"/>
    </xf>
    <xf numFmtId="3" fontId="2" fillId="0" borderId="0" xfId="0" applyNumberFormat="1" applyFont="1" applyFill="1" applyAlignment="1" applyProtection="1">
      <alignment horizontal="center" vertical="center" wrapText="1"/>
      <protection locked="0"/>
    </xf>
    <xf numFmtId="4" fontId="6" fillId="0" borderId="0" xfId="0" applyNumberFormat="1" applyFont="1" applyFill="1" applyAlignment="1" applyProtection="1">
      <alignment horizontal="right" vertical="center"/>
      <protection locked="0"/>
    </xf>
    <xf numFmtId="0" fontId="14" fillId="0" borderId="1" xfId="0" applyFont="1" applyFill="1" applyBorder="1" applyAlignment="1">
      <alignment horizontal="left" vertical="center" wrapText="1"/>
    </xf>
    <xf numFmtId="49" fontId="12" fillId="0" borderId="1" xfId="0" applyNumberFormat="1" applyFont="1" applyFill="1" applyBorder="1" applyAlignment="1" applyProtection="1">
      <alignment horizontal="center" vertical="center" wrapText="1"/>
      <protection locked="0"/>
    </xf>
    <xf numFmtId="1" fontId="12" fillId="0" borderId="1" xfId="0" applyNumberFormat="1" applyFont="1" applyFill="1" applyBorder="1" applyAlignment="1" applyProtection="1">
      <alignment vertical="center" wrapText="1"/>
      <protection locked="0"/>
    </xf>
    <xf numFmtId="0" fontId="12" fillId="0" borderId="1" xfId="0" applyFont="1" applyFill="1" applyBorder="1" applyAlignment="1" applyProtection="1">
      <alignment vertical="center" wrapText="1"/>
      <protection locked="0"/>
    </xf>
    <xf numFmtId="0" fontId="13" fillId="0" borderId="1" xfId="0" applyFont="1" applyFill="1" applyBorder="1" applyAlignment="1" applyProtection="1">
      <alignment vertical="center" wrapText="1"/>
      <protection locked="0"/>
    </xf>
    <xf numFmtId="0" fontId="14" fillId="0" borderId="1" xfId="0" applyFont="1" applyFill="1" applyBorder="1" applyAlignment="1" applyProtection="1">
      <alignment vertical="center" wrapText="1"/>
      <protection locked="0"/>
    </xf>
    <xf numFmtId="0" fontId="11" fillId="0" borderId="1" xfId="0" applyFont="1" applyFill="1" applyBorder="1" applyAlignment="1" applyProtection="1">
      <alignment horizontal="left" vertical="center" wrapText="1"/>
      <protection locked="0"/>
    </xf>
    <xf numFmtId="0" fontId="12" fillId="3" borderId="1" xfId="0" applyFont="1" applyFill="1" applyBorder="1" applyAlignment="1" applyProtection="1">
      <alignment vertical="center" wrapText="1"/>
      <protection locked="0"/>
    </xf>
    <xf numFmtId="49" fontId="14" fillId="0" borderId="1" xfId="0" applyNumberFormat="1" applyFont="1" applyFill="1" applyBorder="1" applyAlignment="1" applyProtection="1">
      <alignment horizontal="left" vertical="center" wrapText="1"/>
      <protection locked="0"/>
    </xf>
    <xf numFmtId="0" fontId="14" fillId="0" borderId="1" xfId="0" applyFont="1" applyFill="1" applyBorder="1" applyAlignment="1">
      <alignment horizontal="justify" vertical="center" wrapText="1"/>
    </xf>
    <xf numFmtId="166" fontId="14" fillId="0" borderId="1" xfId="0" applyNumberFormat="1" applyFont="1" applyFill="1" applyBorder="1" applyAlignment="1" applyProtection="1">
      <alignment horizontal="left" vertical="center" wrapText="1"/>
      <protection locked="0"/>
    </xf>
    <xf numFmtId="0" fontId="14" fillId="0" borderId="1" xfId="0" applyFont="1" applyFill="1" applyBorder="1" applyAlignment="1" applyProtection="1">
      <alignment horizontal="left" vertical="center" wrapText="1"/>
      <protection locked="0"/>
    </xf>
    <xf numFmtId="0" fontId="14" fillId="0" borderId="3" xfId="0" applyFont="1" applyFill="1" applyBorder="1" applyAlignment="1">
      <alignment horizontal="left" vertical="center" wrapText="1"/>
    </xf>
    <xf numFmtId="0" fontId="14" fillId="0" borderId="4" xfId="0" applyFont="1" applyFill="1" applyBorder="1" applyAlignment="1" applyProtection="1">
      <alignment vertical="center" wrapText="1"/>
      <protection locked="0"/>
    </xf>
    <xf numFmtId="0" fontId="14" fillId="0" borderId="2" xfId="0" applyFont="1" applyFill="1" applyBorder="1" applyAlignment="1" applyProtection="1">
      <alignment vertical="center" wrapText="1"/>
      <protection locked="0"/>
    </xf>
    <xf numFmtId="0" fontId="14" fillId="0" borderId="1" xfId="0" applyNumberFormat="1" applyFont="1" applyFill="1" applyBorder="1" applyAlignment="1" applyProtection="1">
      <alignment vertical="center" wrapText="1"/>
      <protection locked="0"/>
    </xf>
    <xf numFmtId="0" fontId="14" fillId="0" borderId="0" xfId="0" applyFont="1" applyFill="1" applyAlignment="1">
      <alignment vertical="center" wrapText="1"/>
    </xf>
    <xf numFmtId="49" fontId="14" fillId="0" borderId="3" xfId="0" applyNumberFormat="1" applyFont="1" applyFill="1" applyBorder="1" applyAlignment="1" applyProtection="1">
      <alignment horizontal="left" vertical="center" wrapText="1"/>
      <protection locked="0"/>
    </xf>
    <xf numFmtId="0" fontId="14" fillId="0" borderId="2" xfId="0" applyFont="1" applyFill="1" applyBorder="1" applyAlignment="1">
      <alignment horizontal="left" vertical="center" wrapText="1"/>
    </xf>
    <xf numFmtId="0" fontId="15" fillId="0" borderId="1" xfId="0" applyFont="1" applyFill="1" applyBorder="1" applyAlignment="1" applyProtection="1">
      <alignment vertical="center" wrapText="1"/>
      <protection locked="0"/>
    </xf>
    <xf numFmtId="1" fontId="14" fillId="0" borderId="1" xfId="0" applyNumberFormat="1" applyFont="1" applyFill="1" applyBorder="1" applyAlignment="1" applyProtection="1">
      <alignment vertical="center" wrapText="1"/>
      <protection locked="0"/>
    </xf>
    <xf numFmtId="166" fontId="14" fillId="3" borderId="1" xfId="0" applyNumberFormat="1" applyFont="1" applyFill="1" applyBorder="1" applyAlignment="1" applyProtection="1">
      <alignment horizontal="left" vertical="center" wrapText="1"/>
      <protection locked="0"/>
    </xf>
    <xf numFmtId="166" fontId="14" fillId="0" borderId="0" xfId="0" applyNumberFormat="1" applyFont="1" applyFill="1" applyBorder="1" applyAlignment="1" applyProtection="1">
      <alignment horizontal="left" vertical="center" wrapText="1"/>
      <protection locked="0"/>
    </xf>
    <xf numFmtId="0" fontId="14" fillId="0" borderId="1" xfId="0" applyFont="1" applyFill="1" applyBorder="1" applyAlignment="1">
      <alignment vertical="center" wrapText="1"/>
    </xf>
    <xf numFmtId="0" fontId="14" fillId="0" borderId="10" xfId="0" applyFont="1" applyFill="1" applyBorder="1" applyAlignment="1" applyProtection="1">
      <alignment vertical="center" wrapText="1"/>
      <protection locked="0"/>
    </xf>
    <xf numFmtId="0" fontId="14" fillId="0" borderId="1" xfId="0" applyFont="1" applyBorder="1" applyAlignment="1">
      <alignment vertical="center" wrapText="1"/>
    </xf>
    <xf numFmtId="0" fontId="15" fillId="0" borderId="1" xfId="0" applyFont="1" applyBorder="1" applyAlignment="1">
      <alignment wrapText="1"/>
    </xf>
    <xf numFmtId="0" fontId="15" fillId="0" borderId="1" xfId="0" applyFont="1" applyBorder="1" applyAlignment="1">
      <alignment vertical="center" wrapText="1"/>
    </xf>
    <xf numFmtId="0" fontId="14" fillId="0" borderId="1" xfId="0" applyFont="1" applyBorder="1" applyAlignment="1">
      <alignment horizontal="left" vertical="center" wrapText="1"/>
    </xf>
    <xf numFmtId="0" fontId="14" fillId="0" borderId="0" xfId="0" applyFont="1" applyAlignment="1">
      <alignment vertical="center" wrapText="1"/>
    </xf>
    <xf numFmtId="0" fontId="16" fillId="0" borderId="0" xfId="0" applyFont="1" applyFill="1" applyAlignment="1" applyProtection="1">
      <alignment horizontal="center" vertical="center" wrapText="1"/>
      <protection locked="0"/>
    </xf>
    <xf numFmtId="1" fontId="16" fillId="0" borderId="0" xfId="0" applyNumberFormat="1" applyFont="1" applyFill="1" applyAlignment="1" applyProtection="1">
      <alignment vertical="center" wrapText="1"/>
      <protection locked="0"/>
    </xf>
    <xf numFmtId="4" fontId="16" fillId="0" borderId="0" xfId="0" applyNumberFormat="1" applyFont="1" applyFill="1" applyAlignment="1" applyProtection="1">
      <alignment vertical="center" wrapText="1"/>
      <protection locked="0"/>
    </xf>
    <xf numFmtId="164" fontId="16" fillId="0" borderId="0" xfId="2" applyFont="1" applyFill="1" applyAlignment="1" applyProtection="1">
      <alignment vertical="center" wrapText="1"/>
      <protection locked="0"/>
    </xf>
    <xf numFmtId="1" fontId="22" fillId="0" borderId="0" xfId="0" applyNumberFormat="1" applyFont="1" applyFill="1" applyAlignment="1" applyProtection="1">
      <alignment vertical="center" wrapText="1"/>
      <protection locked="0"/>
    </xf>
    <xf numFmtId="4" fontId="22" fillId="0" borderId="0" xfId="0" applyNumberFormat="1" applyFont="1" applyFill="1" applyAlignment="1" applyProtection="1">
      <alignment vertical="center" wrapText="1"/>
      <protection locked="0"/>
    </xf>
    <xf numFmtId="0" fontId="22" fillId="0" borderId="0" xfId="0" applyFont="1" applyFill="1" applyAlignment="1" applyProtection="1">
      <alignment vertical="center" wrapText="1"/>
      <protection locked="0"/>
    </xf>
    <xf numFmtId="0" fontId="16" fillId="0" borderId="0" xfId="0" applyFont="1" applyFill="1" applyAlignment="1" applyProtection="1">
      <alignment vertical="center" wrapText="1"/>
      <protection locked="0"/>
    </xf>
    <xf numFmtId="0" fontId="16" fillId="3" borderId="0" xfId="0" applyFont="1" applyFill="1" applyAlignment="1" applyProtection="1">
      <alignment vertical="center" wrapText="1"/>
      <protection locked="0"/>
    </xf>
    <xf numFmtId="4" fontId="16" fillId="3" borderId="0" xfId="0" applyNumberFormat="1" applyFont="1" applyFill="1" applyAlignment="1" applyProtection="1">
      <alignment vertical="center" wrapText="1"/>
      <protection locked="0"/>
    </xf>
    <xf numFmtId="164" fontId="16" fillId="0" borderId="0" xfId="2" applyFont="1" applyFill="1" applyAlignment="1" applyProtection="1">
      <alignment horizontal="center" vertical="center" wrapText="1"/>
      <protection locked="0"/>
    </xf>
    <xf numFmtId="3" fontId="16" fillId="0" borderId="0" xfId="0" applyNumberFormat="1" applyFont="1" applyFill="1" applyAlignment="1" applyProtection="1">
      <alignment horizontal="center" vertical="center" wrapText="1"/>
      <protection locked="0"/>
    </xf>
    <xf numFmtId="4" fontId="16" fillId="0" borderId="0" xfId="0" applyNumberFormat="1" applyFont="1" applyFill="1" applyAlignment="1" applyProtection="1">
      <alignment horizontal="center" vertical="center" wrapText="1"/>
      <protection locked="0"/>
    </xf>
    <xf numFmtId="0" fontId="21" fillId="0" borderId="1" xfId="0" applyFont="1" applyFill="1" applyBorder="1" applyAlignment="1" applyProtection="1">
      <alignment horizontal="center" vertical="center" wrapText="1"/>
      <protection locked="0"/>
    </xf>
    <xf numFmtId="0" fontId="24" fillId="0" borderId="0" xfId="0" applyFont="1" applyFill="1" applyAlignment="1" applyProtection="1">
      <alignment horizontal="center" vertical="center" wrapText="1"/>
      <protection locked="0"/>
    </xf>
    <xf numFmtId="0" fontId="4" fillId="0" borderId="3" xfId="0" applyFont="1" applyFill="1" applyBorder="1" applyAlignment="1" applyProtection="1">
      <alignment vertical="center" wrapText="1"/>
      <protection locked="0"/>
    </xf>
    <xf numFmtId="166" fontId="14" fillId="0" borderId="2" xfId="0" applyNumberFormat="1" applyFont="1" applyFill="1" applyBorder="1" applyAlignment="1" applyProtection="1">
      <alignment horizontal="left" vertical="center" wrapText="1"/>
      <protection locked="0"/>
    </xf>
    <xf numFmtId="166" fontId="14" fillId="0" borderId="11" xfId="0" applyNumberFormat="1" applyFont="1" applyFill="1" applyBorder="1" applyAlignment="1" applyProtection="1">
      <alignment horizontal="left" vertical="center" wrapText="1"/>
      <protection locked="0"/>
    </xf>
    <xf numFmtId="0" fontId="4" fillId="0" borderId="11" xfId="0" applyFont="1" applyFill="1" applyBorder="1" applyAlignment="1" applyProtection="1">
      <alignment vertical="center" wrapText="1"/>
      <protection locked="0"/>
    </xf>
    <xf numFmtId="49" fontId="20" fillId="2" borderId="1" xfId="0" applyNumberFormat="1" applyFont="1" applyFill="1" applyBorder="1" applyAlignment="1" applyProtection="1">
      <alignment horizontal="center" vertical="center" wrapText="1"/>
      <protection locked="0"/>
    </xf>
    <xf numFmtId="1" fontId="20" fillId="2" borderId="1" xfId="0" applyNumberFormat="1" applyFont="1" applyFill="1" applyBorder="1" applyAlignment="1" applyProtection="1">
      <alignment vertical="center" wrapText="1"/>
      <protection locked="0"/>
    </xf>
    <xf numFmtId="1" fontId="20" fillId="2" borderId="1" xfId="0" applyNumberFormat="1" applyFont="1" applyFill="1" applyBorder="1" applyAlignment="1" applyProtection="1">
      <alignment horizontal="left" vertical="center" wrapText="1"/>
      <protection locked="0"/>
    </xf>
    <xf numFmtId="4" fontId="20" fillId="2" borderId="1" xfId="0" applyNumberFormat="1" applyFont="1" applyFill="1" applyBorder="1" applyAlignment="1" applyProtection="1">
      <alignment horizontal="right" vertical="center" wrapText="1"/>
    </xf>
    <xf numFmtId="0" fontId="20" fillId="2" borderId="1" xfId="0" applyFont="1" applyFill="1" applyBorder="1" applyAlignment="1" applyProtection="1">
      <alignment vertical="center" wrapText="1"/>
      <protection locked="0"/>
    </xf>
    <xf numFmtId="0" fontId="20" fillId="2" borderId="1" xfId="0" applyFont="1" applyFill="1" applyBorder="1" applyAlignment="1" applyProtection="1">
      <alignment horizontal="left" vertical="center" wrapText="1"/>
      <protection locked="0"/>
    </xf>
    <xf numFmtId="49" fontId="21" fillId="2" borderId="1" xfId="0" applyNumberFormat="1" applyFont="1" applyFill="1" applyBorder="1" applyAlignment="1" applyProtection="1">
      <alignment horizontal="center" vertical="center" wrapText="1"/>
      <protection locked="0"/>
    </xf>
    <xf numFmtId="0" fontId="21" fillId="2" borderId="1" xfId="0" applyFont="1" applyFill="1" applyBorder="1" applyAlignment="1" applyProtection="1">
      <alignment vertical="center" wrapText="1"/>
      <protection locked="0"/>
    </xf>
    <xf numFmtId="4" fontId="20" fillId="2" borderId="1" xfId="2" applyNumberFormat="1" applyFont="1" applyFill="1" applyBorder="1" applyAlignment="1" applyProtection="1">
      <alignment horizontal="right" vertical="center" wrapText="1"/>
    </xf>
    <xf numFmtId="0" fontId="25" fillId="2" borderId="1" xfId="0" applyFont="1" applyFill="1" applyBorder="1" applyAlignment="1" applyProtection="1">
      <alignment vertical="center" wrapText="1"/>
      <protection locked="0"/>
    </xf>
    <xf numFmtId="166" fontId="20" fillId="2" borderId="1" xfId="0" applyNumberFormat="1" applyFont="1" applyFill="1" applyBorder="1" applyAlignment="1" applyProtection="1">
      <alignment horizontal="center" vertical="center" wrapText="1"/>
      <protection locked="0"/>
    </xf>
    <xf numFmtId="0" fontId="20" fillId="2" borderId="1" xfId="0" applyFont="1" applyFill="1" applyBorder="1" applyAlignment="1">
      <alignment horizontal="left" vertical="center" wrapText="1"/>
    </xf>
    <xf numFmtId="0" fontId="20" fillId="2" borderId="1" xfId="0" applyNumberFormat="1" applyFont="1" applyFill="1" applyBorder="1" applyAlignment="1" applyProtection="1">
      <alignment horizontal="center" vertical="center" wrapText="1"/>
      <protection locked="0"/>
    </xf>
    <xf numFmtId="49" fontId="21" fillId="0" borderId="1" xfId="0" applyNumberFormat="1" applyFont="1" applyFill="1" applyBorder="1" applyAlignment="1" applyProtection="1">
      <alignment horizontal="center" vertical="center" wrapText="1"/>
      <protection locked="0"/>
    </xf>
    <xf numFmtId="49" fontId="21" fillId="0" borderId="1" xfId="0" applyNumberFormat="1" applyFont="1" applyFill="1" applyBorder="1" applyAlignment="1">
      <alignment horizontal="center" vertical="center" wrapText="1"/>
    </xf>
    <xf numFmtId="49" fontId="21" fillId="0" borderId="3" xfId="0" applyNumberFormat="1" applyFont="1" applyFill="1" applyBorder="1" applyAlignment="1" applyProtection="1">
      <alignment horizontal="center" vertical="center" wrapText="1"/>
      <protection locked="0"/>
    </xf>
    <xf numFmtId="49" fontId="21" fillId="0" borderId="11" xfId="0" applyNumberFormat="1" applyFont="1" applyFill="1" applyBorder="1" applyAlignment="1" applyProtection="1">
      <alignment horizontal="center" vertical="center" wrapText="1"/>
      <protection locked="0"/>
    </xf>
    <xf numFmtId="49" fontId="21" fillId="0" borderId="2" xfId="0" applyNumberFormat="1" applyFont="1" applyFill="1" applyBorder="1" applyAlignment="1" applyProtection="1">
      <alignment horizontal="center" vertical="center" wrapText="1"/>
      <protection locked="0"/>
    </xf>
    <xf numFmtId="49" fontId="20" fillId="0" borderId="1" xfId="0" applyNumberFormat="1" applyFont="1" applyFill="1" applyBorder="1" applyAlignment="1" applyProtection="1">
      <alignment horizontal="center" vertical="center" wrapText="1"/>
      <protection locked="0"/>
    </xf>
    <xf numFmtId="0" fontId="20" fillId="0" borderId="1" xfId="0" applyFont="1" applyFill="1" applyBorder="1" applyAlignment="1" applyProtection="1">
      <alignment vertical="center" wrapText="1"/>
      <protection locked="0"/>
    </xf>
    <xf numFmtId="49" fontId="26" fillId="0" borderId="1" xfId="0" applyNumberFormat="1" applyFont="1" applyFill="1" applyBorder="1" applyAlignment="1" applyProtection="1">
      <alignment horizontal="center" vertical="center" wrapText="1"/>
      <protection locked="0"/>
    </xf>
    <xf numFmtId="0" fontId="21" fillId="0" borderId="1" xfId="0" applyFont="1" applyFill="1" applyBorder="1" applyAlignment="1" applyProtection="1">
      <alignment vertical="center" wrapText="1"/>
      <protection locked="0"/>
    </xf>
    <xf numFmtId="49" fontId="21" fillId="3" borderId="1" xfId="0" applyNumberFormat="1" applyFont="1" applyFill="1" applyBorder="1" applyAlignment="1" applyProtection="1">
      <alignment horizontal="center" vertical="center" wrapText="1"/>
      <protection locked="0"/>
    </xf>
    <xf numFmtId="49" fontId="20" fillId="3" borderId="1" xfId="0" applyNumberFormat="1" applyFont="1" applyFill="1" applyBorder="1" applyAlignment="1" applyProtection="1">
      <alignment horizontal="center" vertical="center" wrapText="1"/>
      <protection locked="0"/>
    </xf>
    <xf numFmtId="0" fontId="21" fillId="3" borderId="1" xfId="0" applyFont="1" applyFill="1" applyBorder="1" applyAlignment="1" applyProtection="1">
      <alignment horizontal="center" vertical="center" wrapText="1"/>
      <protection locked="0"/>
    </xf>
    <xf numFmtId="166" fontId="20" fillId="0" borderId="1" xfId="0" applyNumberFormat="1" applyFont="1" applyFill="1" applyBorder="1" applyAlignment="1" applyProtection="1">
      <alignment horizontal="center" vertical="center" wrapText="1"/>
      <protection locked="0"/>
    </xf>
    <xf numFmtId="0" fontId="20" fillId="0" borderId="1" xfId="0" applyNumberFormat="1" applyFont="1" applyFill="1" applyBorder="1" applyAlignment="1" applyProtection="1">
      <alignment horizontal="center" vertical="center" wrapText="1"/>
      <protection locked="0"/>
    </xf>
    <xf numFmtId="4" fontId="20" fillId="0" borderId="1" xfId="0" applyNumberFormat="1" applyFont="1" applyFill="1" applyBorder="1" applyAlignment="1" applyProtection="1">
      <alignment horizontal="right" vertical="center" wrapText="1"/>
    </xf>
    <xf numFmtId="4" fontId="20" fillId="0" borderId="1" xfId="0" applyNumberFormat="1" applyFont="1" applyFill="1" applyBorder="1" applyAlignment="1" applyProtection="1">
      <alignment horizontal="right" vertical="center" wrapText="1"/>
      <protection locked="0"/>
    </xf>
    <xf numFmtId="4" fontId="20" fillId="0" borderId="1" xfId="1" applyNumberFormat="1" applyFont="1" applyFill="1" applyBorder="1" applyAlignment="1" applyProtection="1">
      <alignment horizontal="right" vertical="center" wrapText="1"/>
      <protection locked="0"/>
    </xf>
    <xf numFmtId="4" fontId="20" fillId="0" borderId="3" xfId="0" applyNumberFormat="1" applyFont="1" applyFill="1" applyBorder="1" applyAlignment="1" applyProtection="1">
      <alignment horizontal="right" vertical="center" wrapText="1"/>
    </xf>
    <xf numFmtId="4" fontId="20" fillId="0" borderId="3" xfId="0" applyNumberFormat="1" applyFont="1" applyFill="1" applyBorder="1" applyAlignment="1" applyProtection="1">
      <alignment horizontal="right" vertical="center" wrapText="1"/>
      <protection locked="0"/>
    </xf>
    <xf numFmtId="4" fontId="20" fillId="0" borderId="11" xfId="0" applyNumberFormat="1" applyFont="1" applyFill="1" applyBorder="1" applyAlignment="1" applyProtection="1">
      <alignment horizontal="right" vertical="center" wrapText="1"/>
    </xf>
    <xf numFmtId="4" fontId="20" fillId="0" borderId="11" xfId="0" applyNumberFormat="1" applyFont="1" applyFill="1" applyBorder="1" applyAlignment="1" applyProtection="1">
      <alignment horizontal="right" vertical="center" wrapText="1"/>
      <protection locked="0"/>
    </xf>
    <xf numFmtId="4" fontId="20" fillId="0" borderId="2" xfId="0" applyNumberFormat="1" applyFont="1" applyFill="1" applyBorder="1" applyAlignment="1" applyProtection="1">
      <alignment horizontal="right" vertical="center" wrapText="1"/>
    </xf>
    <xf numFmtId="4" fontId="20" fillId="0" borderId="6" xfId="0" applyNumberFormat="1" applyFont="1" applyFill="1" applyBorder="1" applyAlignment="1" applyProtection="1">
      <alignment horizontal="right" vertical="center" wrapText="1"/>
    </xf>
    <xf numFmtId="4" fontId="20" fillId="0" borderId="6" xfId="0" applyNumberFormat="1" applyFont="1" applyFill="1" applyBorder="1" applyAlignment="1" applyProtection="1">
      <alignment horizontal="right" vertical="center" wrapText="1"/>
      <protection locked="0"/>
    </xf>
    <xf numFmtId="4" fontId="21" fillId="0" borderId="1" xfId="0" applyNumberFormat="1" applyFont="1" applyFill="1" applyBorder="1" applyAlignment="1" applyProtection="1">
      <alignment horizontal="right" vertical="center" wrapText="1"/>
      <protection locked="0"/>
    </xf>
    <xf numFmtId="4" fontId="21" fillId="0" borderId="0" xfId="0" applyNumberFormat="1" applyFont="1" applyFill="1" applyAlignment="1" applyProtection="1">
      <alignment horizontal="right" vertical="center" wrapText="1"/>
      <protection locked="0"/>
    </xf>
    <xf numFmtId="4" fontId="20" fillId="0" borderId="4" xfId="0" applyNumberFormat="1" applyFont="1" applyFill="1" applyBorder="1" applyAlignment="1" applyProtection="1">
      <alignment horizontal="right" vertical="center" wrapText="1"/>
      <protection locked="0"/>
    </xf>
    <xf numFmtId="4" fontId="20" fillId="0" borderId="1" xfId="0" applyNumberFormat="1" applyFont="1" applyFill="1" applyBorder="1" applyAlignment="1" applyProtection="1">
      <alignment vertical="center" wrapText="1"/>
      <protection locked="0"/>
    </xf>
    <xf numFmtId="4" fontId="20" fillId="3" borderId="1" xfId="0" applyNumberFormat="1" applyFont="1" applyFill="1" applyBorder="1" applyAlignment="1" applyProtection="1">
      <alignment horizontal="right" vertical="center" wrapText="1"/>
    </xf>
    <xf numFmtId="4" fontId="20" fillId="0" borderId="1" xfId="2" applyNumberFormat="1" applyFont="1" applyFill="1" applyBorder="1" applyAlignment="1" applyProtection="1">
      <alignment horizontal="right" vertical="center" wrapText="1"/>
      <protection locked="0"/>
    </xf>
    <xf numFmtId="4" fontId="21" fillId="0" borderId="1" xfId="0" applyNumberFormat="1" applyFont="1" applyFill="1" applyBorder="1" applyAlignment="1" applyProtection="1">
      <alignment horizontal="right" vertical="center" wrapText="1"/>
    </xf>
    <xf numFmtId="4" fontId="20" fillId="0" borderId="1" xfId="2" applyNumberFormat="1" applyFont="1" applyFill="1" applyBorder="1" applyAlignment="1" applyProtection="1">
      <alignment horizontal="right" vertical="center" wrapText="1"/>
    </xf>
    <xf numFmtId="4" fontId="20" fillId="4" borderId="1" xfId="0" applyNumberFormat="1" applyFont="1" applyFill="1" applyBorder="1" applyAlignment="1" applyProtection="1">
      <alignment horizontal="right" vertical="center" wrapText="1"/>
      <protection locked="0"/>
    </xf>
    <xf numFmtId="0" fontId="14" fillId="0" borderId="0" xfId="0" applyFont="1" applyFill="1" applyAlignment="1" applyProtection="1">
      <alignment horizontal="left" vertical="center" wrapText="1"/>
      <protection locked="0"/>
    </xf>
    <xf numFmtId="0" fontId="11" fillId="0" borderId="0" xfId="0" applyFont="1" applyFill="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1" fontId="11" fillId="0" borderId="1" xfId="0" applyNumberFormat="1" applyFont="1" applyFill="1" applyBorder="1" applyAlignment="1" applyProtection="1">
      <alignment horizontal="left" vertical="center" wrapText="1"/>
      <protection locked="0"/>
    </xf>
    <xf numFmtId="0" fontId="11" fillId="2" borderId="1" xfId="0" applyFont="1" applyFill="1" applyBorder="1" applyAlignment="1" applyProtection="1">
      <alignment horizontal="left" vertical="center" wrapText="1"/>
      <protection locked="0"/>
    </xf>
    <xf numFmtId="0" fontId="11" fillId="3" borderId="1" xfId="0" applyFont="1" applyFill="1" applyBorder="1" applyAlignment="1" applyProtection="1">
      <alignment horizontal="left" vertical="center" wrapText="1"/>
      <protection locked="0"/>
    </xf>
    <xf numFmtId="0" fontId="11" fillId="0" borderId="1" xfId="0" applyFont="1" applyFill="1" applyBorder="1" applyAlignment="1">
      <alignment horizontal="left" vertical="center" wrapText="1"/>
    </xf>
    <xf numFmtId="0" fontId="29" fillId="0" borderId="0" xfId="0" applyFont="1" applyFill="1" applyAlignment="1" applyProtection="1">
      <alignment horizontal="left" vertical="center" wrapText="1"/>
      <protection locked="0"/>
    </xf>
    <xf numFmtId="0" fontId="21" fillId="0" borderId="12" xfId="0" applyFont="1" applyFill="1" applyBorder="1" applyAlignment="1" applyProtection="1">
      <alignment vertical="center" wrapText="1"/>
      <protection locked="0"/>
    </xf>
    <xf numFmtId="49" fontId="21" fillId="0" borderId="13" xfId="0" applyNumberFormat="1" applyFont="1" applyFill="1" applyBorder="1" applyAlignment="1" applyProtection="1">
      <alignment horizontal="center" vertical="center" wrapText="1"/>
      <protection locked="0"/>
    </xf>
    <xf numFmtId="49" fontId="21" fillId="0" borderId="8" xfId="0" applyNumberFormat="1" applyFont="1" applyFill="1" applyBorder="1" applyAlignment="1" applyProtection="1">
      <alignment horizontal="center" vertical="center" wrapText="1"/>
      <protection locked="0"/>
    </xf>
    <xf numFmtId="0" fontId="14" fillId="0" borderId="11" xfId="0" applyFont="1" applyFill="1" applyBorder="1" applyAlignment="1">
      <alignment horizontal="left" vertical="center" wrapText="1"/>
    </xf>
    <xf numFmtId="0" fontId="30" fillId="5" borderId="15" xfId="0" applyFont="1" applyFill="1" applyBorder="1" applyAlignment="1">
      <alignment vertical="top" wrapText="1"/>
    </xf>
    <xf numFmtId="0" fontId="14" fillId="0" borderId="6" xfId="0" applyFont="1" applyFill="1" applyBorder="1" applyAlignment="1">
      <alignment horizontal="left" vertical="center" wrapText="1"/>
    </xf>
    <xf numFmtId="0" fontId="31" fillId="5" borderId="14" xfId="0" applyFont="1" applyFill="1" applyBorder="1" applyAlignment="1">
      <alignment horizontal="left" vertical="top" wrapText="1"/>
    </xf>
    <xf numFmtId="0" fontId="11" fillId="0" borderId="0" xfId="0" applyFont="1" applyFill="1" applyBorder="1" applyAlignment="1" applyProtection="1">
      <alignment vertical="center"/>
      <protection locked="0"/>
    </xf>
    <xf numFmtId="4" fontId="11" fillId="0" borderId="0" xfId="0" applyNumberFormat="1" applyFont="1" applyFill="1" applyBorder="1" applyAlignment="1" applyProtection="1">
      <alignment vertical="center"/>
      <protection locked="0"/>
    </xf>
    <xf numFmtId="0" fontId="23" fillId="0" borderId="1" xfId="0" applyFont="1" applyFill="1" applyBorder="1" applyAlignment="1" applyProtection="1">
      <alignment horizontal="center" vertical="center" wrapText="1"/>
      <protection locked="0"/>
    </xf>
    <xf numFmtId="0" fontId="18" fillId="0" borderId="1" xfId="0" applyFont="1" applyFill="1" applyBorder="1" applyAlignment="1" applyProtection="1">
      <alignment horizontal="center" vertical="center" wrapText="1"/>
      <protection locked="0"/>
    </xf>
    <xf numFmtId="0" fontId="28" fillId="0" borderId="1" xfId="0" applyFont="1" applyFill="1" applyBorder="1" applyAlignment="1">
      <alignment horizontal="center" vertical="center"/>
    </xf>
    <xf numFmtId="0" fontId="23" fillId="0" borderId="7" xfId="0" applyNumberFormat="1" applyFont="1" applyFill="1" applyBorder="1" applyAlignment="1" applyProtection="1">
      <alignment horizontal="center" vertical="center"/>
    </xf>
    <xf numFmtId="0" fontId="13" fillId="0" borderId="0" xfId="0" applyFont="1" applyFill="1" applyAlignment="1" applyProtection="1">
      <alignment horizontal="left" vertical="center" wrapText="1"/>
      <protection locked="0"/>
    </xf>
    <xf numFmtId="0" fontId="24" fillId="0" borderId="0" xfId="0" applyFont="1" applyFill="1" applyAlignment="1" applyProtection="1">
      <alignment vertical="center" wrapText="1"/>
      <protection locked="0"/>
    </xf>
    <xf numFmtId="0" fontId="24" fillId="0" borderId="0" xfId="0" applyFont="1" applyFill="1" applyAlignment="1" applyProtection="1">
      <alignment horizontal="center" vertical="center" wrapText="1"/>
      <protection locked="0"/>
    </xf>
    <xf numFmtId="0" fontId="27" fillId="0" borderId="0" xfId="0" applyFont="1" applyFill="1" applyAlignment="1" applyProtection="1">
      <alignment horizontal="center" vertical="center"/>
      <protection locked="0"/>
    </xf>
    <xf numFmtId="0" fontId="12" fillId="0" borderId="0" xfId="0" applyFont="1" applyFill="1" applyAlignment="1" applyProtection="1">
      <alignment horizontal="center" vertical="center" wrapText="1"/>
      <protection locked="0"/>
    </xf>
    <xf numFmtId="0" fontId="27" fillId="0" borderId="0" xfId="0" applyFont="1" applyFill="1" applyBorder="1" applyAlignment="1" applyProtection="1">
      <alignment horizontal="center" vertical="top" wrapText="1"/>
      <protection locked="0"/>
    </xf>
    <xf numFmtId="0" fontId="4" fillId="0" borderId="5" xfId="0" applyNumberFormat="1" applyFont="1" applyFill="1" applyBorder="1" applyAlignment="1" applyProtection="1">
      <alignment horizontal="center" vertical="center"/>
    </xf>
    <xf numFmtId="0" fontId="9" fillId="0" borderId="1" xfId="0" applyFont="1" applyFill="1" applyBorder="1" applyAlignment="1" applyProtection="1">
      <alignment horizontal="center" vertical="center" wrapText="1"/>
      <protection locked="0"/>
    </xf>
    <xf numFmtId="0" fontId="9" fillId="0" borderId="3" xfId="0" applyFont="1" applyFill="1" applyBorder="1" applyAlignment="1" applyProtection="1">
      <alignment horizontal="center" vertical="center" wrapText="1"/>
      <protection locked="0"/>
    </xf>
    <xf numFmtId="0" fontId="9" fillId="0" borderId="6" xfId="0" applyFont="1" applyFill="1" applyBorder="1" applyAlignment="1" applyProtection="1">
      <alignment horizontal="center" vertical="center" wrapText="1"/>
      <protection locked="0"/>
    </xf>
    <xf numFmtId="0" fontId="9" fillId="0" borderId="2" xfId="0" applyFont="1" applyFill="1" applyBorder="1" applyAlignment="1" applyProtection="1">
      <alignment horizontal="center" vertical="center" wrapText="1"/>
      <protection locked="0"/>
    </xf>
    <xf numFmtId="0" fontId="11" fillId="0" borderId="1" xfId="0" applyFont="1" applyFill="1" applyBorder="1" applyAlignment="1" applyProtection="1">
      <alignment horizontal="center" vertical="center" wrapText="1"/>
      <protection locked="0"/>
    </xf>
    <xf numFmtId="0" fontId="23" fillId="0" borderId="8" xfId="0" applyFont="1" applyFill="1" applyBorder="1" applyAlignment="1" applyProtection="1">
      <alignment horizontal="center" vertical="center" wrapText="1"/>
      <protection locked="0"/>
    </xf>
    <xf numFmtId="0" fontId="23" fillId="0" borderId="9" xfId="0" applyFont="1" applyFill="1" applyBorder="1" applyAlignment="1" applyProtection="1">
      <alignment horizontal="center" vertical="center" wrapText="1"/>
      <protection locked="0"/>
    </xf>
    <xf numFmtId="0" fontId="23" fillId="0" borderId="4" xfId="0" applyFont="1" applyFill="1" applyBorder="1" applyAlignment="1" applyProtection="1">
      <alignment horizontal="center" vertical="center" wrapText="1"/>
      <protection locked="0"/>
    </xf>
    <xf numFmtId="0" fontId="3" fillId="0" borderId="1" xfId="0" applyFont="1" applyFill="1" applyBorder="1" applyAlignment="1" applyProtection="1">
      <alignment horizontal="center" vertical="center" wrapText="1"/>
      <protection locked="0"/>
    </xf>
    <xf numFmtId="0" fontId="28" fillId="0" borderId="1" xfId="0" applyFont="1" applyBorder="1" applyAlignment="1">
      <alignment horizontal="center" vertical="center"/>
    </xf>
    <xf numFmtId="0" fontId="12" fillId="0" borderId="0" xfId="0" applyFont="1" applyFill="1" applyBorder="1" applyAlignment="1" applyProtection="1">
      <alignment horizontal="center" vertical="center" wrapText="1"/>
      <protection locked="0"/>
    </xf>
    <xf numFmtId="49" fontId="11" fillId="0" borderId="0" xfId="0" applyNumberFormat="1" applyFont="1" applyFill="1" applyBorder="1" applyAlignment="1" applyProtection="1">
      <alignment horizontal="right" vertical="center" wrapText="1"/>
      <protection locked="0"/>
    </xf>
    <xf numFmtId="4" fontId="20" fillId="0" borderId="0" xfId="0" applyNumberFormat="1" applyFont="1" applyFill="1" applyBorder="1" applyAlignment="1" applyProtection="1">
      <alignment horizontal="right" vertical="center" wrapText="1"/>
    </xf>
    <xf numFmtId="4" fontId="20" fillId="0" borderId="17" xfId="0" applyNumberFormat="1" applyFont="1" applyFill="1" applyBorder="1" applyAlignment="1" applyProtection="1">
      <alignment horizontal="right" vertical="center" wrapText="1"/>
    </xf>
    <xf numFmtId="49" fontId="21" fillId="0" borderId="18" xfId="0" applyNumberFormat="1" applyFont="1" applyFill="1" applyBorder="1" applyAlignment="1" applyProtection="1">
      <alignment horizontal="center" vertical="center" wrapText="1"/>
      <protection locked="0"/>
    </xf>
    <xf numFmtId="49" fontId="21" fillId="0" borderId="19" xfId="0" applyNumberFormat="1" applyFont="1" applyFill="1" applyBorder="1" applyAlignment="1" applyProtection="1">
      <alignment horizontal="center" vertical="center" wrapText="1"/>
      <protection locked="0"/>
    </xf>
    <xf numFmtId="49" fontId="14" fillId="0" borderId="19" xfId="0" applyNumberFormat="1" applyFont="1" applyFill="1" applyBorder="1" applyAlignment="1" applyProtection="1">
      <alignment horizontal="left" vertical="center" wrapText="1"/>
      <protection locked="0"/>
    </xf>
    <xf numFmtId="0" fontId="4" fillId="0" borderId="19" xfId="0" applyFont="1" applyFill="1" applyBorder="1" applyAlignment="1" applyProtection="1">
      <alignment vertical="center" wrapText="1"/>
      <protection locked="0"/>
    </xf>
    <xf numFmtId="4" fontId="20" fillId="0" borderId="19" xfId="0" applyNumberFormat="1" applyFont="1" applyFill="1" applyBorder="1" applyAlignment="1" applyProtection="1">
      <alignment horizontal="right" vertical="center" wrapText="1"/>
    </xf>
    <xf numFmtId="4" fontId="20" fillId="0" borderId="19" xfId="0" applyNumberFormat="1" applyFont="1" applyFill="1" applyBorder="1" applyAlignment="1" applyProtection="1">
      <alignment horizontal="right" vertical="center" wrapText="1"/>
      <protection locked="0"/>
    </xf>
    <xf numFmtId="4" fontId="20" fillId="0" borderId="20" xfId="0" applyNumberFormat="1" applyFont="1" applyFill="1" applyBorder="1" applyAlignment="1" applyProtection="1">
      <alignment horizontal="right" vertical="center" wrapText="1"/>
    </xf>
    <xf numFmtId="4" fontId="20" fillId="0" borderId="21" xfId="0" applyNumberFormat="1" applyFont="1" applyFill="1" applyBorder="1" applyAlignment="1" applyProtection="1">
      <alignment horizontal="right" vertical="center" wrapText="1"/>
    </xf>
    <xf numFmtId="4" fontId="20" fillId="0" borderId="22" xfId="0" applyNumberFormat="1" applyFont="1" applyFill="1" applyBorder="1" applyAlignment="1" applyProtection="1">
      <alignment horizontal="right" vertical="center" wrapText="1"/>
    </xf>
    <xf numFmtId="4" fontId="20" fillId="0" borderId="23" xfId="0" applyNumberFormat="1" applyFont="1" applyFill="1" applyBorder="1" applyAlignment="1" applyProtection="1">
      <alignment horizontal="right" vertical="center" wrapText="1"/>
    </xf>
    <xf numFmtId="0" fontId="12" fillId="0" borderId="24" xfId="0" applyFont="1" applyFill="1" applyBorder="1" applyAlignment="1" applyProtection="1">
      <alignment horizontal="center" vertical="center" wrapText="1"/>
      <protection locked="0"/>
    </xf>
    <xf numFmtId="0" fontId="12" fillId="0" borderId="16" xfId="0" applyFont="1" applyFill="1" applyBorder="1" applyAlignment="1" applyProtection="1">
      <alignment horizontal="center" vertical="center" wrapText="1"/>
      <protection locked="0"/>
    </xf>
    <xf numFmtId="0" fontId="12" fillId="0" borderId="26" xfId="0" applyFont="1" applyFill="1" applyBorder="1" applyAlignment="1" applyProtection="1">
      <alignment horizontal="center" vertical="center" wrapText="1"/>
      <protection locked="0"/>
    </xf>
    <xf numFmtId="49" fontId="16" fillId="0" borderId="25" xfId="0" applyNumberFormat="1" applyFont="1" applyFill="1" applyBorder="1" applyAlignment="1" applyProtection="1">
      <alignment horizontal="center" vertical="center" wrapText="1"/>
      <protection locked="0"/>
    </xf>
    <xf numFmtId="49" fontId="32" fillId="0" borderId="0" xfId="0" applyNumberFormat="1" applyFont="1" applyFill="1" applyBorder="1" applyAlignment="1" applyProtection="1">
      <alignment horizontal="center" vertical="center" wrapText="1"/>
      <protection locked="0"/>
    </xf>
  </cellXfs>
  <cellStyles count="3">
    <cellStyle name="Грошовий" xfId="1" builtinId="4"/>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220"/>
  <sheetViews>
    <sheetView tabSelected="1" view="pageBreakPreview" zoomScale="44" zoomScaleNormal="60" zoomScaleSheetLayoutView="44" workbookViewId="0">
      <pane xSplit="5" ySplit="11" topLeftCell="F204" activePane="bottomRight" state="frozen"/>
      <selection pane="topRight" activeCell="F1" sqref="F1"/>
      <selection pane="bottomLeft" activeCell="A11" sqref="A11"/>
      <selection pane="bottomRight" activeCell="A215" sqref="A215:Q215"/>
    </sheetView>
  </sheetViews>
  <sheetFormatPr defaultColWidth="9.140625" defaultRowHeight="24.75" customHeight="1"/>
  <cols>
    <col min="1" max="1" width="19.5703125" style="19" customWidth="1"/>
    <col min="2" max="2" width="19.7109375" style="19" customWidth="1"/>
    <col min="3" max="3" width="14.140625" style="19" customWidth="1"/>
    <col min="4" max="4" width="66.85546875" style="136" customWidth="1"/>
    <col min="5" max="5" width="6.85546875" style="11" hidden="1" customWidth="1"/>
    <col min="6" max="7" width="31.42578125" style="26" customWidth="1"/>
    <col min="8" max="8" width="31.28515625" style="26" customWidth="1"/>
    <col min="9" max="9" width="29.140625" style="26" customWidth="1"/>
    <col min="10" max="10" width="31.42578125" style="26" customWidth="1"/>
    <col min="11" max="11" width="31.28515625" style="26" customWidth="1"/>
    <col min="12" max="12" width="33.28515625" style="26" customWidth="1"/>
    <col min="13" max="13" width="29.85546875" style="26" customWidth="1"/>
    <col min="14" max="14" width="24.140625" style="26" customWidth="1"/>
    <col min="15" max="16" width="31" style="26" customWidth="1"/>
    <col min="17" max="17" width="47.28515625" style="26" customWidth="1"/>
    <col min="18" max="18" width="28.42578125" style="19" customWidth="1"/>
    <col min="19" max="19" width="17.42578125" style="19" customWidth="1"/>
    <col min="20" max="20" width="23.7109375" style="20" customWidth="1"/>
    <col min="21" max="16384" width="9.140625" style="19"/>
  </cols>
  <sheetData>
    <row r="1" spans="1:20" s="4" customFormat="1" ht="40.9" customHeight="1">
      <c r="D1" s="129"/>
      <c r="F1" s="22"/>
      <c r="G1" s="23"/>
      <c r="H1" s="22"/>
      <c r="I1" s="22"/>
      <c r="J1" s="22"/>
      <c r="K1" s="22"/>
      <c r="L1" s="22"/>
      <c r="M1" s="22"/>
      <c r="N1" s="151" t="s">
        <v>511</v>
      </c>
      <c r="O1" s="151"/>
      <c r="P1" s="151"/>
      <c r="Q1" s="151"/>
      <c r="T1" s="12"/>
    </row>
    <row r="2" spans="1:20" s="4" customFormat="1" ht="32.450000000000003" customHeight="1">
      <c r="A2" s="152" t="s">
        <v>290</v>
      </c>
      <c r="B2" s="152"/>
      <c r="C2" s="152"/>
      <c r="D2" s="152"/>
      <c r="E2" s="152"/>
      <c r="F2" s="152"/>
      <c r="G2" s="152"/>
      <c r="H2" s="152"/>
      <c r="I2" s="152"/>
      <c r="J2" s="152"/>
      <c r="K2" s="152"/>
      <c r="L2" s="152"/>
      <c r="M2" s="152"/>
      <c r="N2" s="153" t="s">
        <v>536</v>
      </c>
      <c r="O2" s="153"/>
      <c r="P2" s="153"/>
      <c r="Q2" s="153"/>
      <c r="T2" s="12"/>
    </row>
    <row r="3" spans="1:20" s="4" customFormat="1" ht="48.75" customHeight="1">
      <c r="A3" s="78"/>
      <c r="B3" s="78"/>
      <c r="C3" s="78"/>
      <c r="D3" s="130"/>
      <c r="E3" s="78"/>
      <c r="F3" s="78"/>
      <c r="G3" s="78"/>
      <c r="H3" s="78"/>
      <c r="I3" s="78"/>
      <c r="J3" s="78"/>
      <c r="K3" s="78"/>
      <c r="L3" s="78"/>
      <c r="M3" s="155" t="s">
        <v>574</v>
      </c>
      <c r="N3" s="155"/>
      <c r="O3" s="155"/>
      <c r="P3" s="155"/>
      <c r="Q3" s="155"/>
      <c r="T3" s="12"/>
    </row>
    <row r="4" spans="1:20" s="4" customFormat="1" ht="37.9" customHeight="1">
      <c r="A4" s="152" t="s">
        <v>542</v>
      </c>
      <c r="B4" s="152"/>
      <c r="C4" s="152"/>
      <c r="D4" s="152"/>
      <c r="E4" s="152"/>
      <c r="F4" s="152"/>
      <c r="G4" s="152"/>
      <c r="H4" s="152"/>
      <c r="I4" s="152"/>
      <c r="J4" s="152"/>
      <c r="K4" s="152"/>
      <c r="L4" s="152"/>
      <c r="M4" s="152"/>
      <c r="T4" s="12"/>
    </row>
    <row r="5" spans="1:20" s="4" customFormat="1" ht="27.2" customHeight="1">
      <c r="A5" s="149">
        <v>2553800000</v>
      </c>
      <c r="B5" s="149"/>
      <c r="C5" s="149"/>
      <c r="D5" s="129"/>
      <c r="E5" s="15"/>
      <c r="F5" s="24"/>
      <c r="G5" s="24"/>
      <c r="H5" s="24"/>
      <c r="I5" s="24"/>
      <c r="J5" s="24"/>
      <c r="K5" s="154"/>
      <c r="L5" s="154"/>
      <c r="M5" s="154"/>
      <c r="N5" s="150"/>
      <c r="O5" s="150"/>
      <c r="P5" s="150"/>
      <c r="Q5" s="150"/>
      <c r="T5" s="12"/>
    </row>
    <row r="6" spans="1:20" s="4" customFormat="1" ht="17.45" customHeight="1">
      <c r="A6" s="156" t="s">
        <v>430</v>
      </c>
      <c r="B6" s="156"/>
      <c r="C6" s="156"/>
      <c r="D6" s="129"/>
      <c r="E6" s="7"/>
      <c r="F6" s="24"/>
      <c r="G6" s="24"/>
      <c r="H6" s="24"/>
      <c r="I6" s="24"/>
      <c r="J6" s="24"/>
      <c r="K6" s="24"/>
      <c r="L6" s="24"/>
      <c r="M6" s="24"/>
      <c r="N6" s="24"/>
      <c r="O6" s="24"/>
      <c r="P6" s="25"/>
      <c r="Q6" s="25"/>
      <c r="T6" s="12"/>
    </row>
    <row r="7" spans="1:20" s="27" customFormat="1" ht="30.75" customHeight="1">
      <c r="A7" s="157" t="s">
        <v>315</v>
      </c>
      <c r="B7" s="158" t="s">
        <v>506</v>
      </c>
      <c r="C7" s="157" t="s">
        <v>267</v>
      </c>
      <c r="D7" s="161" t="s">
        <v>427</v>
      </c>
      <c r="E7" s="165" t="s">
        <v>55</v>
      </c>
      <c r="F7" s="162" t="s">
        <v>268</v>
      </c>
      <c r="G7" s="163"/>
      <c r="H7" s="163"/>
      <c r="I7" s="163"/>
      <c r="J7" s="164"/>
      <c r="K7" s="146" t="s">
        <v>269</v>
      </c>
      <c r="L7" s="166"/>
      <c r="M7" s="166"/>
      <c r="N7" s="166"/>
      <c r="O7" s="166"/>
      <c r="P7" s="166"/>
      <c r="Q7" s="146" t="s">
        <v>0</v>
      </c>
      <c r="T7" s="28"/>
    </row>
    <row r="8" spans="1:20" s="27" customFormat="1" ht="33" customHeight="1">
      <c r="A8" s="157"/>
      <c r="B8" s="159"/>
      <c r="C8" s="157"/>
      <c r="D8" s="161"/>
      <c r="E8" s="165"/>
      <c r="F8" s="146" t="s">
        <v>192</v>
      </c>
      <c r="G8" s="146" t="s">
        <v>45</v>
      </c>
      <c r="H8" s="147" t="s">
        <v>25</v>
      </c>
      <c r="I8" s="147"/>
      <c r="J8" s="146" t="s">
        <v>46</v>
      </c>
      <c r="K8" s="146" t="s">
        <v>192</v>
      </c>
      <c r="L8" s="146" t="s">
        <v>270</v>
      </c>
      <c r="M8" s="146" t="s">
        <v>47</v>
      </c>
      <c r="N8" s="147" t="s">
        <v>25</v>
      </c>
      <c r="O8" s="147"/>
      <c r="P8" s="146" t="s">
        <v>48</v>
      </c>
      <c r="Q8" s="146"/>
      <c r="T8" s="28"/>
    </row>
    <row r="9" spans="1:20" s="27" customFormat="1" ht="16.5" customHeight="1">
      <c r="A9" s="157"/>
      <c r="B9" s="159"/>
      <c r="C9" s="157"/>
      <c r="D9" s="161"/>
      <c r="E9" s="165"/>
      <c r="F9" s="146"/>
      <c r="G9" s="146"/>
      <c r="H9" s="146" t="s">
        <v>445</v>
      </c>
      <c r="I9" s="146" t="s">
        <v>20</v>
      </c>
      <c r="J9" s="146"/>
      <c r="K9" s="146"/>
      <c r="L9" s="148"/>
      <c r="M9" s="148"/>
      <c r="N9" s="146" t="s">
        <v>446</v>
      </c>
      <c r="O9" s="146" t="s">
        <v>20</v>
      </c>
      <c r="P9" s="148"/>
      <c r="Q9" s="146"/>
      <c r="T9" s="28"/>
    </row>
    <row r="10" spans="1:20" s="27" customFormat="1" ht="106.35" customHeight="1">
      <c r="A10" s="157"/>
      <c r="B10" s="160"/>
      <c r="C10" s="157"/>
      <c r="D10" s="161"/>
      <c r="E10" s="165"/>
      <c r="F10" s="146"/>
      <c r="G10" s="146"/>
      <c r="H10" s="146"/>
      <c r="I10" s="146"/>
      <c r="J10" s="146"/>
      <c r="K10" s="146"/>
      <c r="L10" s="148"/>
      <c r="M10" s="148"/>
      <c r="N10" s="146"/>
      <c r="O10" s="146"/>
      <c r="P10" s="148"/>
      <c r="Q10" s="146"/>
      <c r="T10" s="28"/>
    </row>
    <row r="11" spans="1:20" s="9" customFormat="1" ht="17.100000000000001" customHeight="1">
      <c r="A11" s="21">
        <v>1</v>
      </c>
      <c r="B11" s="21">
        <v>2</v>
      </c>
      <c r="C11" s="21">
        <v>3</v>
      </c>
      <c r="D11" s="131">
        <v>4</v>
      </c>
      <c r="E11" s="21">
        <v>4</v>
      </c>
      <c r="F11" s="21">
        <v>5</v>
      </c>
      <c r="G11" s="21">
        <v>6</v>
      </c>
      <c r="H11" s="21">
        <v>7</v>
      </c>
      <c r="I11" s="21">
        <v>8</v>
      </c>
      <c r="J11" s="21">
        <v>9</v>
      </c>
      <c r="K11" s="21">
        <v>10</v>
      </c>
      <c r="L11" s="21">
        <v>11</v>
      </c>
      <c r="M11" s="21">
        <v>12</v>
      </c>
      <c r="N11" s="21">
        <v>13</v>
      </c>
      <c r="O11" s="21">
        <v>14</v>
      </c>
      <c r="P11" s="21">
        <v>15</v>
      </c>
      <c r="Q11" s="21">
        <v>16</v>
      </c>
      <c r="T11" s="10"/>
    </row>
    <row r="12" spans="1:20" s="13" customFormat="1" ht="59.1" customHeight="1">
      <c r="A12" s="83" t="s">
        <v>112</v>
      </c>
      <c r="B12" s="83" t="s">
        <v>112</v>
      </c>
      <c r="C12" s="84"/>
      <c r="D12" s="85" t="s">
        <v>515</v>
      </c>
      <c r="E12" s="84" t="s">
        <v>1</v>
      </c>
      <c r="F12" s="86">
        <f>F13</f>
        <v>123395546.72999999</v>
      </c>
      <c r="G12" s="86">
        <f>G13</f>
        <v>121548531.72999999</v>
      </c>
      <c r="H12" s="86">
        <f t="shared" ref="H12:P12" si="0">H13</f>
        <v>30712100</v>
      </c>
      <c r="I12" s="86">
        <f t="shared" si="0"/>
        <v>1375100</v>
      </c>
      <c r="J12" s="86">
        <f t="shared" si="0"/>
        <v>1847015</v>
      </c>
      <c r="K12" s="86">
        <f t="shared" si="0"/>
        <v>17461058.5</v>
      </c>
      <c r="L12" s="86">
        <f t="shared" si="0"/>
        <v>17411058.5</v>
      </c>
      <c r="M12" s="86">
        <f t="shared" si="0"/>
        <v>50000</v>
      </c>
      <c r="N12" s="86">
        <f t="shared" si="0"/>
        <v>0</v>
      </c>
      <c r="O12" s="86">
        <f t="shared" si="0"/>
        <v>0</v>
      </c>
      <c r="P12" s="86">
        <f t="shared" si="0"/>
        <v>17411058.5</v>
      </c>
      <c r="Q12" s="86">
        <f t="shared" ref="Q12:Q90" si="1">F12+K12</f>
        <v>140856605.22999999</v>
      </c>
      <c r="R12" s="65"/>
      <c r="S12" s="65"/>
      <c r="T12" s="66"/>
    </row>
    <row r="13" spans="1:20" s="13" customFormat="1" ht="52.35" customHeight="1">
      <c r="A13" s="35" t="s">
        <v>113</v>
      </c>
      <c r="B13" s="35" t="s">
        <v>113</v>
      </c>
      <c r="C13" s="36"/>
      <c r="D13" s="132" t="str">
        <f>D12</f>
        <v>Виконавчий комітет місцевої ради</v>
      </c>
      <c r="E13" s="36"/>
      <c r="F13" s="110">
        <f t="shared" ref="F13:P13" si="2">SUM(F14:F49)</f>
        <v>123395546.72999999</v>
      </c>
      <c r="G13" s="110">
        <f>SUM(G14:G49)</f>
        <v>121548531.72999999</v>
      </c>
      <c r="H13" s="110">
        <f t="shared" si="2"/>
        <v>30712100</v>
      </c>
      <c r="I13" s="110">
        <f t="shared" si="2"/>
        <v>1375100</v>
      </c>
      <c r="J13" s="110">
        <f t="shared" si="2"/>
        <v>1847015</v>
      </c>
      <c r="K13" s="110">
        <f t="shared" si="2"/>
        <v>17461058.5</v>
      </c>
      <c r="L13" s="110">
        <f t="shared" si="2"/>
        <v>17411058.5</v>
      </c>
      <c r="M13" s="110">
        <f t="shared" si="2"/>
        <v>50000</v>
      </c>
      <c r="N13" s="110">
        <f t="shared" si="2"/>
        <v>0</v>
      </c>
      <c r="O13" s="110">
        <f t="shared" si="2"/>
        <v>0</v>
      </c>
      <c r="P13" s="110">
        <f t="shared" si="2"/>
        <v>17411058.5</v>
      </c>
      <c r="Q13" s="110">
        <f t="shared" si="1"/>
        <v>140856605.22999999</v>
      </c>
      <c r="R13" s="67"/>
      <c r="S13" s="65"/>
      <c r="T13" s="66"/>
    </row>
    <row r="14" spans="1:20" s="14" customFormat="1" ht="75.599999999999994" customHeight="1">
      <c r="A14" s="96" t="s">
        <v>114</v>
      </c>
      <c r="B14" s="96" t="s">
        <v>316</v>
      </c>
      <c r="C14" s="96" t="s">
        <v>57</v>
      </c>
      <c r="D14" s="42" t="s">
        <v>453</v>
      </c>
      <c r="E14" s="1" t="s">
        <v>2</v>
      </c>
      <c r="F14" s="110">
        <f t="shared" ref="F14:F93" si="3">G14+J14</f>
        <v>42340800</v>
      </c>
      <c r="G14" s="110">
        <f>35629000+3600000+600000+2264800+247000</f>
        <v>42340800</v>
      </c>
      <c r="H14" s="111">
        <f>26100000+3000000+1612100</f>
        <v>30712100</v>
      </c>
      <c r="I14" s="111">
        <v>1375100</v>
      </c>
      <c r="J14" s="111"/>
      <c r="K14" s="110">
        <f t="shared" ref="K14:K49" si="4">M14+P14</f>
        <v>350000</v>
      </c>
      <c r="L14" s="110">
        <f>547000-247000</f>
        <v>300000</v>
      </c>
      <c r="M14" s="110">
        <v>50000</v>
      </c>
      <c r="N14" s="110"/>
      <c r="O14" s="111"/>
      <c r="P14" s="111">
        <f>L14</f>
        <v>300000</v>
      </c>
      <c r="Q14" s="110">
        <f t="shared" si="1"/>
        <v>42690800</v>
      </c>
      <c r="R14" s="68"/>
      <c r="S14" s="68"/>
      <c r="T14" s="69"/>
    </row>
    <row r="15" spans="1:20" s="14" customFormat="1" ht="45.2" customHeight="1">
      <c r="A15" s="96" t="s">
        <v>130</v>
      </c>
      <c r="B15" s="96" t="s">
        <v>256</v>
      </c>
      <c r="C15" s="96" t="s">
        <v>68</v>
      </c>
      <c r="D15" s="42" t="s">
        <v>131</v>
      </c>
      <c r="E15" s="1"/>
      <c r="F15" s="110">
        <f t="shared" si="3"/>
        <v>4237223</v>
      </c>
      <c r="G15" s="110">
        <f>200000+500000+50000+100000+300000+19900+200000+90000-15000+1000000+480000+780000+150000+100000-21277+250000+53600</f>
        <v>4237223</v>
      </c>
      <c r="H15" s="111"/>
      <c r="I15" s="111"/>
      <c r="J15" s="111"/>
      <c r="K15" s="110">
        <f t="shared" si="4"/>
        <v>100000</v>
      </c>
      <c r="L15" s="111">
        <v>100000</v>
      </c>
      <c r="M15" s="110"/>
      <c r="N15" s="110"/>
      <c r="O15" s="111"/>
      <c r="P15" s="111">
        <f>L15</f>
        <v>100000</v>
      </c>
      <c r="Q15" s="110">
        <f t="shared" si="1"/>
        <v>4337223</v>
      </c>
      <c r="R15" s="68"/>
      <c r="S15" s="68"/>
      <c r="T15" s="69"/>
    </row>
    <row r="16" spans="1:20" s="13" customFormat="1" ht="44.45" customHeight="1">
      <c r="A16" s="96" t="s">
        <v>115</v>
      </c>
      <c r="B16" s="96" t="s">
        <v>317</v>
      </c>
      <c r="C16" s="97" t="s">
        <v>58</v>
      </c>
      <c r="D16" s="43" t="s">
        <v>84</v>
      </c>
      <c r="E16" s="5" t="s">
        <v>56</v>
      </c>
      <c r="F16" s="110">
        <f t="shared" si="3"/>
        <v>36008774.32</v>
      </c>
      <c r="G16" s="110">
        <f>10400000+7993270+432000+35000+1254669+5556450-460000+10000+102100+199000+1000000-309634.68+40000+556920+5000000+500000+199000-2056920+2550000+506920+2070000+430000</f>
        <v>36008774.32</v>
      </c>
      <c r="H16" s="111"/>
      <c r="I16" s="111"/>
      <c r="J16" s="111"/>
      <c r="K16" s="110">
        <f t="shared" si="4"/>
        <v>7805525.5</v>
      </c>
      <c r="L16" s="110">
        <f>1000000+3473206+279900+1500000+2552419.5-1000000</f>
        <v>7805525.5</v>
      </c>
      <c r="M16" s="110"/>
      <c r="N16" s="110"/>
      <c r="O16" s="111"/>
      <c r="P16" s="112">
        <f>L16</f>
        <v>7805525.5</v>
      </c>
      <c r="Q16" s="110">
        <f t="shared" si="1"/>
        <v>43814299.82</v>
      </c>
      <c r="R16" s="65"/>
      <c r="S16" s="65"/>
      <c r="T16" s="66"/>
    </row>
    <row r="17" spans="1:20" s="13" customFormat="1" ht="72" customHeight="1">
      <c r="A17" s="96" t="s">
        <v>120</v>
      </c>
      <c r="B17" s="96" t="s">
        <v>318</v>
      </c>
      <c r="C17" s="96" t="s">
        <v>59</v>
      </c>
      <c r="D17" s="44" t="s">
        <v>85</v>
      </c>
      <c r="E17" s="3" t="s">
        <v>51</v>
      </c>
      <c r="F17" s="110">
        <f>G17+J17</f>
        <v>15750000</v>
      </c>
      <c r="G17" s="110">
        <f>7600000+20000+3000000+300000+130000+800000+1400000+2500000</f>
        <v>15750000</v>
      </c>
      <c r="H17" s="111"/>
      <c r="I17" s="111"/>
      <c r="J17" s="111"/>
      <c r="K17" s="110">
        <f t="shared" si="4"/>
        <v>0</v>
      </c>
      <c r="L17" s="110">
        <f>1000000-1000000</f>
        <v>0</v>
      </c>
      <c r="M17" s="110"/>
      <c r="N17" s="110"/>
      <c r="O17" s="111"/>
      <c r="P17" s="111">
        <f>L17</f>
        <v>0</v>
      </c>
      <c r="Q17" s="110">
        <f t="shared" si="1"/>
        <v>15750000</v>
      </c>
      <c r="R17" s="65"/>
      <c r="S17" s="65"/>
      <c r="T17" s="66"/>
    </row>
    <row r="18" spans="1:20" s="13" customFormat="1" ht="46.15" customHeight="1">
      <c r="A18" s="96" t="s">
        <v>119</v>
      </c>
      <c r="B18" s="96" t="s">
        <v>319</v>
      </c>
      <c r="C18" s="96" t="s">
        <v>60</v>
      </c>
      <c r="D18" s="45" t="s">
        <v>104</v>
      </c>
      <c r="E18" s="3"/>
      <c r="F18" s="110">
        <f>G18+J18</f>
        <v>1757000</v>
      </c>
      <c r="G18" s="110">
        <f>3865000+20000+372000-2500000</f>
        <v>1757000</v>
      </c>
      <c r="H18" s="111"/>
      <c r="I18" s="111"/>
      <c r="J18" s="111"/>
      <c r="K18" s="110">
        <f t="shared" si="4"/>
        <v>150000</v>
      </c>
      <c r="L18" s="110">
        <v>150000</v>
      </c>
      <c r="M18" s="110"/>
      <c r="N18" s="110"/>
      <c r="O18" s="111"/>
      <c r="P18" s="112">
        <f>L18</f>
        <v>150000</v>
      </c>
      <c r="Q18" s="110">
        <f t="shared" si="1"/>
        <v>1907000</v>
      </c>
      <c r="R18" s="65"/>
      <c r="S18" s="65"/>
      <c r="T18" s="66"/>
    </row>
    <row r="19" spans="1:20" s="13" customFormat="1" ht="81.75" customHeight="1">
      <c r="A19" s="96" t="s">
        <v>204</v>
      </c>
      <c r="B19" s="96" t="s">
        <v>320</v>
      </c>
      <c r="C19" s="96" t="s">
        <v>205</v>
      </c>
      <c r="D19" s="45" t="s">
        <v>434</v>
      </c>
      <c r="E19" s="3"/>
      <c r="F19" s="110">
        <f>G19+J19</f>
        <v>4582100</v>
      </c>
      <c r="G19" s="110">
        <f>3100000+1482100</f>
        <v>4582100</v>
      </c>
      <c r="H19" s="111"/>
      <c r="I19" s="111"/>
      <c r="J19" s="111"/>
      <c r="K19" s="110">
        <f t="shared" si="4"/>
        <v>0</v>
      </c>
      <c r="L19" s="110"/>
      <c r="M19" s="110"/>
      <c r="N19" s="110"/>
      <c r="O19" s="111"/>
      <c r="P19" s="111"/>
      <c r="Q19" s="110">
        <f t="shared" si="1"/>
        <v>4582100</v>
      </c>
      <c r="R19" s="65"/>
      <c r="S19" s="65"/>
      <c r="T19" s="66"/>
    </row>
    <row r="20" spans="1:20" s="13" customFormat="1" ht="57.2" customHeight="1">
      <c r="A20" s="96" t="s">
        <v>116</v>
      </c>
      <c r="B20" s="96" t="s">
        <v>321</v>
      </c>
      <c r="C20" s="96" t="s">
        <v>61</v>
      </c>
      <c r="D20" s="45" t="s">
        <v>106</v>
      </c>
      <c r="E20" s="3"/>
      <c r="F20" s="110">
        <f t="shared" si="3"/>
        <v>148000</v>
      </c>
      <c r="G20" s="110">
        <f>40000+108000</f>
        <v>148000</v>
      </c>
      <c r="H20" s="111"/>
      <c r="I20" s="111"/>
      <c r="J20" s="111"/>
      <c r="K20" s="110">
        <f t="shared" si="4"/>
        <v>0</v>
      </c>
      <c r="L20" s="110"/>
      <c r="M20" s="110"/>
      <c r="N20" s="110"/>
      <c r="O20" s="111"/>
      <c r="P20" s="112"/>
      <c r="Q20" s="110">
        <f t="shared" si="1"/>
        <v>148000</v>
      </c>
      <c r="R20" s="65"/>
      <c r="S20" s="65"/>
      <c r="T20" s="66"/>
    </row>
    <row r="21" spans="1:20" s="13" customFormat="1" ht="51" customHeight="1">
      <c r="A21" s="96" t="s">
        <v>117</v>
      </c>
      <c r="B21" s="96" t="s">
        <v>322</v>
      </c>
      <c r="C21" s="96" t="s">
        <v>61</v>
      </c>
      <c r="D21" s="45" t="s">
        <v>105</v>
      </c>
      <c r="E21" s="3"/>
      <c r="F21" s="110">
        <f t="shared" si="3"/>
        <v>100000</v>
      </c>
      <c r="G21" s="110">
        <f>100000</f>
        <v>100000</v>
      </c>
      <c r="H21" s="111"/>
      <c r="I21" s="111"/>
      <c r="J21" s="111"/>
      <c r="K21" s="110">
        <f t="shared" si="4"/>
        <v>0</v>
      </c>
      <c r="L21" s="110"/>
      <c r="M21" s="110"/>
      <c r="N21" s="110"/>
      <c r="O21" s="111"/>
      <c r="P21" s="112"/>
      <c r="Q21" s="110">
        <f t="shared" si="1"/>
        <v>100000</v>
      </c>
      <c r="R21" s="65"/>
      <c r="S21" s="65"/>
      <c r="T21" s="66"/>
    </row>
    <row r="22" spans="1:20" s="13" customFormat="1" ht="57.2" customHeight="1">
      <c r="A22" s="96" t="s">
        <v>118</v>
      </c>
      <c r="B22" s="96" t="s">
        <v>323</v>
      </c>
      <c r="C22" s="96" t="s">
        <v>61</v>
      </c>
      <c r="D22" s="45" t="s">
        <v>107</v>
      </c>
      <c r="E22" s="3"/>
      <c r="F22" s="110">
        <f t="shared" si="3"/>
        <v>0</v>
      </c>
      <c r="G22" s="110"/>
      <c r="H22" s="111"/>
      <c r="I22" s="111"/>
      <c r="J22" s="111"/>
      <c r="K22" s="110">
        <f t="shared" si="4"/>
        <v>0</v>
      </c>
      <c r="L22" s="110"/>
      <c r="M22" s="110"/>
      <c r="N22" s="110"/>
      <c r="O22" s="111"/>
      <c r="P22" s="112"/>
      <c r="Q22" s="110">
        <f t="shared" si="1"/>
        <v>0</v>
      </c>
      <c r="R22" s="65"/>
      <c r="S22" s="65"/>
      <c r="T22" s="66"/>
    </row>
    <row r="23" spans="1:20" s="13" customFormat="1" ht="55.7" hidden="1" customHeight="1">
      <c r="A23" s="96" t="s">
        <v>220</v>
      </c>
      <c r="B23" s="96" t="s">
        <v>324</v>
      </c>
      <c r="C23" s="96" t="s">
        <v>61</v>
      </c>
      <c r="D23" s="45" t="s">
        <v>231</v>
      </c>
      <c r="E23" s="3"/>
      <c r="F23" s="110">
        <f>G23+J23</f>
        <v>0</v>
      </c>
      <c r="G23" s="110"/>
      <c r="H23" s="111"/>
      <c r="I23" s="111"/>
      <c r="J23" s="111"/>
      <c r="K23" s="110">
        <f t="shared" si="4"/>
        <v>0</v>
      </c>
      <c r="L23" s="110"/>
      <c r="M23" s="110"/>
      <c r="N23" s="110"/>
      <c r="O23" s="111"/>
      <c r="P23" s="111"/>
      <c r="Q23" s="110">
        <f t="shared" si="1"/>
        <v>0</v>
      </c>
      <c r="R23" s="65"/>
      <c r="S23" s="65"/>
      <c r="T23" s="66"/>
    </row>
    <row r="24" spans="1:20" s="13" customFormat="1" ht="55.7" hidden="1" customHeight="1">
      <c r="A24" s="96" t="s">
        <v>206</v>
      </c>
      <c r="B24" s="96" t="s">
        <v>325</v>
      </c>
      <c r="C24" s="96" t="s">
        <v>61</v>
      </c>
      <c r="D24" s="44" t="s">
        <v>271</v>
      </c>
      <c r="E24" s="3"/>
      <c r="F24" s="110">
        <f t="shared" si="3"/>
        <v>0</v>
      </c>
      <c r="G24" s="110"/>
      <c r="H24" s="111"/>
      <c r="I24" s="111"/>
      <c r="J24" s="111"/>
      <c r="K24" s="110">
        <f t="shared" si="4"/>
        <v>0</v>
      </c>
      <c r="L24" s="110"/>
      <c r="M24" s="110"/>
      <c r="N24" s="110"/>
      <c r="O24" s="111"/>
      <c r="P24" s="111"/>
      <c r="Q24" s="110">
        <f t="shared" si="1"/>
        <v>0</v>
      </c>
      <c r="R24" s="65"/>
      <c r="S24" s="65"/>
      <c r="T24" s="66"/>
    </row>
    <row r="25" spans="1:20" s="13" customFormat="1" ht="55.9" customHeight="1">
      <c r="A25" s="96" t="s">
        <v>207</v>
      </c>
      <c r="B25" s="96" t="s">
        <v>326</v>
      </c>
      <c r="C25" s="96" t="s">
        <v>61</v>
      </c>
      <c r="D25" s="44" t="s">
        <v>272</v>
      </c>
      <c r="E25" s="3"/>
      <c r="F25" s="110">
        <f t="shared" si="3"/>
        <v>350000</v>
      </c>
      <c r="G25" s="110">
        <f>20000+100000+130000+100000</f>
        <v>350000</v>
      </c>
      <c r="H25" s="111"/>
      <c r="I25" s="111"/>
      <c r="J25" s="111"/>
      <c r="K25" s="110">
        <f t="shared" si="4"/>
        <v>0</v>
      </c>
      <c r="L25" s="110"/>
      <c r="M25" s="110"/>
      <c r="N25" s="110"/>
      <c r="O25" s="111"/>
      <c r="P25" s="111"/>
      <c r="Q25" s="110">
        <f t="shared" si="1"/>
        <v>350000</v>
      </c>
      <c r="R25" s="65"/>
      <c r="S25" s="65"/>
      <c r="T25" s="66"/>
    </row>
    <row r="26" spans="1:20" s="4" customFormat="1" ht="57.6" customHeight="1">
      <c r="A26" s="96" t="s">
        <v>121</v>
      </c>
      <c r="B26" s="96" t="s">
        <v>327</v>
      </c>
      <c r="C26" s="96" t="s">
        <v>63</v>
      </c>
      <c r="D26" s="44" t="s">
        <v>86</v>
      </c>
      <c r="E26" s="3" t="s">
        <v>36</v>
      </c>
      <c r="F26" s="110">
        <f t="shared" si="3"/>
        <v>109863</v>
      </c>
      <c r="G26" s="110">
        <f>30000+12763+67100</f>
        <v>109863</v>
      </c>
      <c r="H26" s="111"/>
      <c r="I26" s="111"/>
      <c r="J26" s="111"/>
      <c r="K26" s="110">
        <f t="shared" si="4"/>
        <v>0</v>
      </c>
      <c r="L26" s="110"/>
      <c r="M26" s="110"/>
      <c r="N26" s="110"/>
      <c r="O26" s="111"/>
      <c r="P26" s="111"/>
      <c r="Q26" s="110">
        <f t="shared" si="1"/>
        <v>109863</v>
      </c>
      <c r="R26" s="70"/>
      <c r="S26" s="70"/>
      <c r="T26" s="69"/>
    </row>
    <row r="27" spans="1:20" s="4" customFormat="1" ht="76.7" customHeight="1">
      <c r="A27" s="96" t="s">
        <v>122</v>
      </c>
      <c r="B27" s="96" t="s">
        <v>328</v>
      </c>
      <c r="C27" s="96" t="s">
        <v>63</v>
      </c>
      <c r="D27" s="34" t="s">
        <v>87</v>
      </c>
      <c r="E27" s="3"/>
      <c r="F27" s="110">
        <f>G27+J27</f>
        <v>0</v>
      </c>
      <c r="G27" s="110">
        <f>3000-3000</f>
        <v>0</v>
      </c>
      <c r="H27" s="111"/>
      <c r="I27" s="111"/>
      <c r="J27" s="111"/>
      <c r="K27" s="110">
        <f t="shared" si="4"/>
        <v>0</v>
      </c>
      <c r="L27" s="110"/>
      <c r="M27" s="110"/>
      <c r="N27" s="110"/>
      <c r="O27" s="111"/>
      <c r="P27" s="111"/>
      <c r="Q27" s="110">
        <f t="shared" si="1"/>
        <v>0</v>
      </c>
      <c r="R27" s="70"/>
      <c r="S27" s="70"/>
      <c r="T27" s="69"/>
    </row>
    <row r="28" spans="1:20" s="4" customFormat="1" ht="76.7" customHeight="1">
      <c r="A28" s="96" t="s">
        <v>516</v>
      </c>
      <c r="B28" s="96" t="s">
        <v>517</v>
      </c>
      <c r="C28" s="96" t="s">
        <v>63</v>
      </c>
      <c r="D28" s="34" t="s">
        <v>518</v>
      </c>
      <c r="E28" s="3"/>
      <c r="F28" s="110">
        <f>G28+J28</f>
        <v>20000</v>
      </c>
      <c r="G28" s="110">
        <f>20000</f>
        <v>20000</v>
      </c>
      <c r="H28" s="111"/>
      <c r="I28" s="111"/>
      <c r="J28" s="111"/>
      <c r="K28" s="110"/>
      <c r="L28" s="110"/>
      <c r="M28" s="110"/>
      <c r="N28" s="110"/>
      <c r="O28" s="111"/>
      <c r="P28" s="111"/>
      <c r="Q28" s="110">
        <f t="shared" si="1"/>
        <v>20000</v>
      </c>
      <c r="R28" s="70"/>
      <c r="S28" s="70"/>
      <c r="T28" s="69"/>
    </row>
    <row r="29" spans="1:20" s="4" customFormat="1" ht="91.35" customHeight="1">
      <c r="A29" s="96" t="s">
        <v>123</v>
      </c>
      <c r="B29" s="96" t="s">
        <v>329</v>
      </c>
      <c r="C29" s="96" t="s">
        <v>63</v>
      </c>
      <c r="D29" s="44" t="s">
        <v>108</v>
      </c>
      <c r="E29" s="3" t="s">
        <v>15</v>
      </c>
      <c r="F29" s="110">
        <f t="shared" si="3"/>
        <v>10000</v>
      </c>
      <c r="G29" s="110">
        <f>10000+5000+65000-70000</f>
        <v>10000</v>
      </c>
      <c r="H29" s="111"/>
      <c r="I29" s="111"/>
      <c r="J29" s="111"/>
      <c r="K29" s="110">
        <f t="shared" si="4"/>
        <v>0</v>
      </c>
      <c r="L29" s="110"/>
      <c r="M29" s="110"/>
      <c r="N29" s="110"/>
      <c r="O29" s="111"/>
      <c r="P29" s="111"/>
      <c r="Q29" s="110">
        <f t="shared" si="1"/>
        <v>10000</v>
      </c>
      <c r="R29" s="70"/>
      <c r="S29" s="70"/>
      <c r="T29" s="69"/>
    </row>
    <row r="30" spans="1:20" s="4" customFormat="1" ht="54.75" customHeight="1">
      <c r="A30" s="96" t="s">
        <v>311</v>
      </c>
      <c r="B30" s="96" t="s">
        <v>330</v>
      </c>
      <c r="C30" s="96" t="s">
        <v>63</v>
      </c>
      <c r="D30" s="44" t="s">
        <v>312</v>
      </c>
      <c r="E30" s="3"/>
      <c r="F30" s="110">
        <f t="shared" si="3"/>
        <v>1311000</v>
      </c>
      <c r="G30" s="110">
        <f>5000+1132500+100000+73500</f>
        <v>1311000</v>
      </c>
      <c r="H30" s="111"/>
      <c r="I30" s="111"/>
      <c r="J30" s="111"/>
      <c r="K30" s="110">
        <f t="shared" si="4"/>
        <v>0</v>
      </c>
      <c r="L30" s="110"/>
      <c r="M30" s="110"/>
      <c r="N30" s="110"/>
      <c r="O30" s="111"/>
      <c r="P30" s="111">
        <f>L30</f>
        <v>0</v>
      </c>
      <c r="Q30" s="110">
        <f t="shared" si="1"/>
        <v>1311000</v>
      </c>
      <c r="R30" s="70"/>
      <c r="S30" s="70"/>
      <c r="T30" s="69"/>
    </row>
    <row r="31" spans="1:20" s="4" customFormat="1" ht="54.75" customHeight="1">
      <c r="A31" s="96" t="s">
        <v>208</v>
      </c>
      <c r="B31" s="96" t="s">
        <v>331</v>
      </c>
      <c r="C31" s="96" t="s">
        <v>62</v>
      </c>
      <c r="D31" s="44" t="s">
        <v>209</v>
      </c>
      <c r="E31" s="3"/>
      <c r="F31" s="110">
        <f>G31+J31</f>
        <v>3268000</v>
      </c>
      <c r="G31" s="110">
        <f>2600000+120000+30000+60000+60000+350000+48000</f>
        <v>3268000</v>
      </c>
      <c r="H31" s="111"/>
      <c r="I31" s="111"/>
      <c r="J31" s="111"/>
      <c r="K31" s="110">
        <f t="shared" si="4"/>
        <v>0</v>
      </c>
      <c r="L31" s="110"/>
      <c r="M31" s="110"/>
      <c r="N31" s="110"/>
      <c r="O31" s="111"/>
      <c r="P31" s="111"/>
      <c r="Q31" s="110">
        <f t="shared" si="1"/>
        <v>3268000</v>
      </c>
      <c r="R31" s="70"/>
      <c r="S31" s="70"/>
      <c r="T31" s="69"/>
    </row>
    <row r="32" spans="1:20" s="4" customFormat="1" ht="54.75" customHeight="1">
      <c r="A32" s="96" t="s">
        <v>513</v>
      </c>
      <c r="B32" s="96" t="s">
        <v>387</v>
      </c>
      <c r="C32" s="96" t="s">
        <v>285</v>
      </c>
      <c r="D32" s="44" t="s">
        <v>443</v>
      </c>
      <c r="E32" s="3"/>
      <c r="F32" s="110">
        <f>G32+J32</f>
        <v>0</v>
      </c>
      <c r="G32" s="110"/>
      <c r="H32" s="111"/>
      <c r="I32" s="111"/>
      <c r="J32" s="111"/>
      <c r="K32" s="110">
        <f t="shared" si="4"/>
        <v>0</v>
      </c>
      <c r="L32" s="110"/>
      <c r="M32" s="110"/>
      <c r="N32" s="110"/>
      <c r="O32" s="111"/>
      <c r="P32" s="111"/>
      <c r="Q32" s="110">
        <f t="shared" si="1"/>
        <v>0</v>
      </c>
      <c r="R32" s="70"/>
      <c r="S32" s="70"/>
      <c r="T32" s="69"/>
    </row>
    <row r="33" spans="1:20" s="4" customFormat="1" ht="79.150000000000006" customHeight="1">
      <c r="A33" s="96" t="s">
        <v>286</v>
      </c>
      <c r="B33" s="96" t="s">
        <v>332</v>
      </c>
      <c r="C33" s="96" t="s">
        <v>285</v>
      </c>
      <c r="D33" s="34" t="s">
        <v>287</v>
      </c>
      <c r="E33" s="3" t="s">
        <v>19</v>
      </c>
      <c r="F33" s="110">
        <f t="shared" si="3"/>
        <v>0</v>
      </c>
      <c r="G33" s="110"/>
      <c r="H33" s="111"/>
      <c r="I33" s="111"/>
      <c r="J33" s="111"/>
      <c r="K33" s="110">
        <f t="shared" si="4"/>
        <v>0</v>
      </c>
      <c r="L33" s="110">
        <f>2000000-2000000</f>
        <v>0</v>
      </c>
      <c r="M33" s="110"/>
      <c r="N33" s="110"/>
      <c r="O33" s="111"/>
      <c r="P33" s="111">
        <f t="shared" ref="P33:P38" si="5">L33</f>
        <v>0</v>
      </c>
      <c r="Q33" s="110">
        <f t="shared" si="1"/>
        <v>0</v>
      </c>
      <c r="R33" s="70"/>
      <c r="S33" s="70"/>
      <c r="T33" s="69"/>
    </row>
    <row r="34" spans="1:20" s="4" customFormat="1" ht="42" customHeight="1">
      <c r="A34" s="96" t="s">
        <v>530</v>
      </c>
      <c r="B34" s="96" t="s">
        <v>531</v>
      </c>
      <c r="C34" s="96" t="s">
        <v>79</v>
      </c>
      <c r="D34" s="34" t="s">
        <v>532</v>
      </c>
      <c r="E34" s="3"/>
      <c r="F34" s="110">
        <f t="shared" si="3"/>
        <v>0</v>
      </c>
      <c r="G34" s="113"/>
      <c r="H34" s="114"/>
      <c r="I34" s="114"/>
      <c r="J34" s="114"/>
      <c r="K34" s="110">
        <f t="shared" si="4"/>
        <v>470000</v>
      </c>
      <c r="L34" s="113">
        <f>1000000-130000-400000</f>
        <v>470000</v>
      </c>
      <c r="M34" s="113"/>
      <c r="N34" s="113"/>
      <c r="O34" s="114"/>
      <c r="P34" s="114">
        <f>L34</f>
        <v>470000</v>
      </c>
      <c r="Q34" s="110">
        <f t="shared" si="1"/>
        <v>470000</v>
      </c>
      <c r="R34" s="70"/>
      <c r="S34" s="70"/>
      <c r="T34" s="69"/>
    </row>
    <row r="35" spans="1:20" s="4" customFormat="1" ht="53.45" customHeight="1">
      <c r="A35" s="96" t="s">
        <v>560</v>
      </c>
      <c r="B35" s="96" t="s">
        <v>394</v>
      </c>
      <c r="C35" s="96" t="s">
        <v>79</v>
      </c>
      <c r="D35" s="43" t="s">
        <v>541</v>
      </c>
      <c r="E35" s="3"/>
      <c r="F35" s="110">
        <f t="shared" si="3"/>
        <v>0</v>
      </c>
      <c r="G35" s="113"/>
      <c r="H35" s="114"/>
      <c r="I35" s="114"/>
      <c r="J35" s="114"/>
      <c r="K35" s="110">
        <f t="shared" si="4"/>
        <v>1000000</v>
      </c>
      <c r="L35" s="113">
        <v>1000000</v>
      </c>
      <c r="M35" s="113"/>
      <c r="N35" s="113"/>
      <c r="O35" s="114"/>
      <c r="P35" s="114">
        <f>L35</f>
        <v>1000000</v>
      </c>
      <c r="Q35" s="110">
        <f t="shared" si="1"/>
        <v>1000000</v>
      </c>
      <c r="R35" s="70"/>
      <c r="S35" s="70"/>
      <c r="T35" s="69"/>
    </row>
    <row r="36" spans="1:20" s="4" customFormat="1" ht="67.900000000000006" customHeight="1">
      <c r="A36" s="96" t="s">
        <v>406</v>
      </c>
      <c r="B36" s="96" t="s">
        <v>396</v>
      </c>
      <c r="C36" s="96" t="s">
        <v>79</v>
      </c>
      <c r="D36" s="34" t="s">
        <v>407</v>
      </c>
      <c r="E36" s="3"/>
      <c r="F36" s="110">
        <f>G36+J36</f>
        <v>400000</v>
      </c>
      <c r="G36" s="113">
        <v>100000</v>
      </c>
      <c r="H36" s="114"/>
      <c r="I36" s="114"/>
      <c r="J36" s="114">
        <v>300000</v>
      </c>
      <c r="K36" s="110">
        <f t="shared" si="4"/>
        <v>500000</v>
      </c>
      <c r="L36" s="113">
        <f>500000+300000+1200000-2000000+500000</f>
        <v>500000</v>
      </c>
      <c r="M36" s="113"/>
      <c r="N36" s="113"/>
      <c r="O36" s="114"/>
      <c r="P36" s="114">
        <f t="shared" si="5"/>
        <v>500000</v>
      </c>
      <c r="Q36" s="110">
        <f t="shared" si="1"/>
        <v>900000</v>
      </c>
      <c r="R36" s="70"/>
      <c r="S36" s="70"/>
      <c r="T36" s="69"/>
    </row>
    <row r="37" spans="1:20" s="4" customFormat="1" ht="90.75" customHeight="1">
      <c r="A37" s="96" t="s">
        <v>197</v>
      </c>
      <c r="B37" s="96" t="s">
        <v>334</v>
      </c>
      <c r="C37" s="96" t="s">
        <v>196</v>
      </c>
      <c r="D37" s="34" t="s">
        <v>433</v>
      </c>
      <c r="E37" s="3"/>
      <c r="F37" s="110">
        <f>G37+J37</f>
        <v>0</v>
      </c>
      <c r="G37" s="113"/>
      <c r="H37" s="114"/>
      <c r="I37" s="114"/>
      <c r="J37" s="114"/>
      <c r="K37" s="110">
        <f>M37+P37</f>
        <v>0</v>
      </c>
      <c r="L37" s="113"/>
      <c r="M37" s="113"/>
      <c r="N37" s="113"/>
      <c r="O37" s="114"/>
      <c r="P37" s="114">
        <f t="shared" si="5"/>
        <v>0</v>
      </c>
      <c r="Q37" s="110">
        <f>F37+K37</f>
        <v>0</v>
      </c>
      <c r="R37" s="70"/>
      <c r="S37" s="70"/>
      <c r="T37" s="69"/>
    </row>
    <row r="38" spans="1:20" s="4" customFormat="1" ht="55.35" customHeight="1">
      <c r="A38" s="98" t="s">
        <v>408</v>
      </c>
      <c r="B38" s="98" t="s">
        <v>409</v>
      </c>
      <c r="C38" s="98" t="s">
        <v>410</v>
      </c>
      <c r="D38" s="46" t="s">
        <v>411</v>
      </c>
      <c r="E38" s="79"/>
      <c r="F38" s="113">
        <f>G38+J38</f>
        <v>2519707</v>
      </c>
      <c r="G38" s="113">
        <f>400000+200000+45000-31000+8000-245000+1000000-404308</f>
        <v>972692</v>
      </c>
      <c r="H38" s="114"/>
      <c r="I38" s="114"/>
      <c r="J38" s="114">
        <f>367400+245000+185000+749615</f>
        <v>1547015</v>
      </c>
      <c r="K38" s="113">
        <f t="shared" si="4"/>
        <v>593533</v>
      </c>
      <c r="L38" s="113">
        <f>100000+31000+462533</f>
        <v>593533</v>
      </c>
      <c r="M38" s="113"/>
      <c r="N38" s="113"/>
      <c r="O38" s="114"/>
      <c r="P38" s="114">
        <f t="shared" si="5"/>
        <v>593533</v>
      </c>
      <c r="Q38" s="113">
        <f t="shared" si="1"/>
        <v>3113240</v>
      </c>
      <c r="R38" s="70"/>
      <c r="S38" s="70"/>
      <c r="T38" s="69"/>
    </row>
    <row r="39" spans="1:20" s="4" customFormat="1" ht="48.2" customHeight="1">
      <c r="A39" s="99" t="s">
        <v>127</v>
      </c>
      <c r="B39" s="99" t="s">
        <v>335</v>
      </c>
      <c r="C39" s="99" t="s">
        <v>129</v>
      </c>
      <c r="D39" s="81" t="s">
        <v>128</v>
      </c>
      <c r="E39" s="82"/>
      <c r="F39" s="115">
        <f t="shared" si="3"/>
        <v>0</v>
      </c>
      <c r="G39" s="115"/>
      <c r="H39" s="116"/>
      <c r="I39" s="116"/>
      <c r="J39" s="116">
        <v>0</v>
      </c>
      <c r="K39" s="115">
        <f t="shared" si="4"/>
        <v>0</v>
      </c>
      <c r="L39" s="115"/>
      <c r="M39" s="115"/>
      <c r="N39" s="115"/>
      <c r="O39" s="116"/>
      <c r="P39" s="116"/>
      <c r="Q39" s="115">
        <f t="shared" si="1"/>
        <v>0</v>
      </c>
      <c r="R39" s="70"/>
      <c r="S39" s="70"/>
      <c r="T39" s="69"/>
    </row>
    <row r="40" spans="1:20" s="4" customFormat="1" ht="29.1" customHeight="1">
      <c r="A40" s="100" t="s">
        <v>132</v>
      </c>
      <c r="B40" s="100" t="s">
        <v>336</v>
      </c>
      <c r="C40" s="100" t="s">
        <v>82</v>
      </c>
      <c r="D40" s="80" t="s">
        <v>133</v>
      </c>
      <c r="E40" s="2"/>
      <c r="F40" s="117">
        <f t="shared" si="3"/>
        <v>0</v>
      </c>
      <c r="G40" s="118"/>
      <c r="H40" s="119"/>
      <c r="I40" s="119"/>
      <c r="J40" s="119">
        <f>201000-201000</f>
        <v>0</v>
      </c>
      <c r="K40" s="117">
        <f t="shared" si="4"/>
        <v>520000</v>
      </c>
      <c r="L40" s="118">
        <f>2500000+400000+120000-2500000</f>
        <v>520000</v>
      </c>
      <c r="M40" s="118"/>
      <c r="N40" s="118"/>
      <c r="O40" s="119"/>
      <c r="P40" s="119">
        <f>L40</f>
        <v>520000</v>
      </c>
      <c r="Q40" s="117">
        <f t="shared" si="1"/>
        <v>520000</v>
      </c>
      <c r="R40" s="70"/>
      <c r="S40" s="70"/>
      <c r="T40" s="69"/>
    </row>
    <row r="41" spans="1:20" s="4" customFormat="1" ht="49.9" customHeight="1">
      <c r="A41" s="96" t="s">
        <v>298</v>
      </c>
      <c r="B41" s="96" t="s">
        <v>337</v>
      </c>
      <c r="C41" s="96" t="s">
        <v>196</v>
      </c>
      <c r="D41" s="34" t="s">
        <v>276</v>
      </c>
      <c r="E41" s="6"/>
      <c r="F41" s="110">
        <f t="shared" si="3"/>
        <v>0</v>
      </c>
      <c r="G41" s="113"/>
      <c r="H41" s="114"/>
      <c r="I41" s="114"/>
      <c r="J41" s="114"/>
      <c r="K41" s="110">
        <f t="shared" si="4"/>
        <v>0</v>
      </c>
      <c r="L41" s="113"/>
      <c r="M41" s="113"/>
      <c r="N41" s="113"/>
      <c r="O41" s="114"/>
      <c r="P41" s="114">
        <f>L41</f>
        <v>0</v>
      </c>
      <c r="Q41" s="110">
        <f t="shared" si="1"/>
        <v>0</v>
      </c>
      <c r="R41" s="70"/>
      <c r="S41" s="70"/>
      <c r="T41" s="69"/>
    </row>
    <row r="42" spans="1:20" s="4" customFormat="1" ht="51.6" customHeight="1">
      <c r="A42" s="96" t="s">
        <v>264</v>
      </c>
      <c r="B42" s="96" t="s">
        <v>338</v>
      </c>
      <c r="C42" s="96" t="s">
        <v>196</v>
      </c>
      <c r="D42" s="44" t="s">
        <v>265</v>
      </c>
      <c r="E42" s="3"/>
      <c r="F42" s="110">
        <f t="shared" si="3"/>
        <v>92677</v>
      </c>
      <c r="G42" s="113">
        <f>85000+15000-7323</f>
        <v>92677</v>
      </c>
      <c r="H42" s="114"/>
      <c r="I42" s="114"/>
      <c r="J42" s="114"/>
      <c r="K42" s="110">
        <f t="shared" si="4"/>
        <v>0</v>
      </c>
      <c r="L42" s="113"/>
      <c r="M42" s="113"/>
      <c r="N42" s="113"/>
      <c r="O42" s="114"/>
      <c r="P42" s="114"/>
      <c r="Q42" s="110">
        <f t="shared" si="1"/>
        <v>92677</v>
      </c>
      <c r="R42" s="70"/>
      <c r="S42" s="70"/>
      <c r="T42" s="69"/>
    </row>
    <row r="43" spans="1:20" s="4" customFormat="1" ht="79.150000000000006" customHeight="1">
      <c r="A43" s="96" t="s">
        <v>124</v>
      </c>
      <c r="B43" s="96" t="s">
        <v>339</v>
      </c>
      <c r="C43" s="96" t="s">
        <v>67</v>
      </c>
      <c r="D43" s="34" t="s">
        <v>246</v>
      </c>
      <c r="E43" s="3"/>
      <c r="F43" s="113">
        <f t="shared" si="3"/>
        <v>142000</v>
      </c>
      <c r="G43" s="113">
        <f>234000-92000</f>
        <v>142000</v>
      </c>
      <c r="H43" s="114"/>
      <c r="I43" s="114"/>
      <c r="J43" s="114"/>
      <c r="K43" s="110">
        <f t="shared" si="4"/>
        <v>92000</v>
      </c>
      <c r="L43" s="113">
        <f>92000</f>
        <v>92000</v>
      </c>
      <c r="M43" s="113"/>
      <c r="N43" s="113"/>
      <c r="O43" s="114"/>
      <c r="P43" s="114">
        <f>L43</f>
        <v>92000</v>
      </c>
      <c r="Q43" s="110">
        <f t="shared" si="1"/>
        <v>234000</v>
      </c>
      <c r="R43" s="70"/>
      <c r="S43" s="70"/>
      <c r="T43" s="69"/>
    </row>
    <row r="44" spans="1:20" s="4" customFormat="1" ht="51" customHeight="1">
      <c r="A44" s="98" t="s">
        <v>450</v>
      </c>
      <c r="B44" s="98" t="s">
        <v>451</v>
      </c>
      <c r="C44" s="98" t="s">
        <v>414</v>
      </c>
      <c r="D44" s="46" t="s">
        <v>452</v>
      </c>
      <c r="E44" s="3"/>
      <c r="F44" s="113">
        <f t="shared" si="3"/>
        <v>3063000</v>
      </c>
      <c r="G44" s="113">
        <f>2500000+449150+113850</f>
        <v>3063000</v>
      </c>
      <c r="H44" s="114"/>
      <c r="I44" s="114"/>
      <c r="J44" s="114"/>
      <c r="K44" s="110">
        <f t="shared" si="4"/>
        <v>600000</v>
      </c>
      <c r="L44" s="113">
        <v>600000</v>
      </c>
      <c r="M44" s="113"/>
      <c r="N44" s="113"/>
      <c r="O44" s="114"/>
      <c r="P44" s="114">
        <f>L44</f>
        <v>600000</v>
      </c>
      <c r="Q44" s="110">
        <f t="shared" si="1"/>
        <v>3663000</v>
      </c>
      <c r="R44" s="70"/>
      <c r="S44" s="70"/>
      <c r="T44" s="69"/>
    </row>
    <row r="45" spans="1:20" s="4" customFormat="1" ht="52.35" customHeight="1">
      <c r="A45" s="98" t="s">
        <v>412</v>
      </c>
      <c r="B45" s="98" t="s">
        <v>413</v>
      </c>
      <c r="C45" s="98" t="s">
        <v>414</v>
      </c>
      <c r="D45" s="46" t="s">
        <v>415</v>
      </c>
      <c r="E45" s="3" t="s">
        <v>4</v>
      </c>
      <c r="F45" s="113">
        <f>G45+J45</f>
        <v>460000</v>
      </c>
      <c r="G45" s="113">
        <f>100000+360000</f>
        <v>460000</v>
      </c>
      <c r="H45" s="114"/>
      <c r="I45" s="114">
        <v>0</v>
      </c>
      <c r="J45" s="114"/>
      <c r="K45" s="110">
        <f t="shared" si="4"/>
        <v>0</v>
      </c>
      <c r="L45" s="113"/>
      <c r="M45" s="113"/>
      <c r="N45" s="113"/>
      <c r="O45" s="114"/>
      <c r="P45" s="114"/>
      <c r="Q45" s="110">
        <f t="shared" si="1"/>
        <v>460000</v>
      </c>
      <c r="R45" s="70"/>
      <c r="S45" s="70"/>
      <c r="T45" s="69"/>
    </row>
    <row r="46" spans="1:20" s="4" customFormat="1" ht="34.35" hidden="1" customHeight="1">
      <c r="A46" s="98" t="s">
        <v>125</v>
      </c>
      <c r="B46" s="98" t="s">
        <v>340</v>
      </c>
      <c r="C46" s="98" t="s">
        <v>65</v>
      </c>
      <c r="D46" s="46" t="s">
        <v>109</v>
      </c>
      <c r="E46" s="3" t="s">
        <v>4</v>
      </c>
      <c r="F46" s="113">
        <f t="shared" ref="F46:F48" si="6">G46+J46</f>
        <v>0</v>
      </c>
      <c r="G46" s="113"/>
      <c r="H46" s="114"/>
      <c r="I46" s="114"/>
      <c r="J46" s="114"/>
      <c r="K46" s="110">
        <f t="shared" si="4"/>
        <v>0</v>
      </c>
      <c r="L46" s="113"/>
      <c r="M46" s="113"/>
      <c r="N46" s="113"/>
      <c r="O46" s="114"/>
      <c r="P46" s="114"/>
      <c r="Q46" s="110">
        <f t="shared" si="1"/>
        <v>0</v>
      </c>
      <c r="R46" s="70"/>
      <c r="S46" s="70"/>
      <c r="T46" s="69"/>
    </row>
    <row r="47" spans="1:20" s="4" customFormat="1" ht="32.450000000000003" hidden="1" customHeight="1">
      <c r="A47" s="96" t="s">
        <v>126</v>
      </c>
      <c r="B47" s="96" t="s">
        <v>341</v>
      </c>
      <c r="C47" s="96" t="s">
        <v>65</v>
      </c>
      <c r="D47" s="44" t="s">
        <v>111</v>
      </c>
      <c r="E47" s="29"/>
      <c r="F47" s="113">
        <f t="shared" si="6"/>
        <v>0</v>
      </c>
      <c r="G47" s="110"/>
      <c r="H47" s="111"/>
      <c r="I47" s="111"/>
      <c r="J47" s="111"/>
      <c r="K47" s="110">
        <f t="shared" si="4"/>
        <v>0</v>
      </c>
      <c r="L47" s="110"/>
      <c r="M47" s="110"/>
      <c r="N47" s="110"/>
      <c r="O47" s="111"/>
      <c r="P47" s="111"/>
      <c r="Q47" s="110">
        <f t="shared" si="1"/>
        <v>0</v>
      </c>
      <c r="R47" s="70"/>
      <c r="S47" s="70"/>
      <c r="T47" s="69"/>
    </row>
    <row r="48" spans="1:20" s="4" customFormat="1" ht="32.450000000000003" customHeight="1">
      <c r="A48" s="96" t="s">
        <v>526</v>
      </c>
      <c r="B48" s="96" t="s">
        <v>527</v>
      </c>
      <c r="C48" s="96" t="s">
        <v>528</v>
      </c>
      <c r="D48" s="44" t="s">
        <v>529</v>
      </c>
      <c r="E48" s="29"/>
      <c r="F48" s="113">
        <f t="shared" si="6"/>
        <v>6725402.4100000001</v>
      </c>
      <c r="G48" s="110">
        <f>8220000-200000+15000+1000000-2309597.59</f>
        <v>6725402.4100000001</v>
      </c>
      <c r="H48" s="111"/>
      <c r="I48" s="111"/>
      <c r="J48" s="111"/>
      <c r="K48" s="110">
        <f t="shared" si="4"/>
        <v>5280000</v>
      </c>
      <c r="L48" s="110">
        <f>1780000+3500000</f>
        <v>5280000</v>
      </c>
      <c r="M48" s="110"/>
      <c r="N48" s="110"/>
      <c r="O48" s="111"/>
      <c r="P48" s="111">
        <f>L48</f>
        <v>5280000</v>
      </c>
      <c r="Q48" s="110">
        <f t="shared" si="1"/>
        <v>12005402.41</v>
      </c>
      <c r="R48" s="70"/>
      <c r="S48" s="70"/>
      <c r="T48" s="69"/>
    </row>
    <row r="49" spans="1:20" s="4" customFormat="1" ht="49.15" customHeight="1">
      <c r="A49" s="96" t="s">
        <v>125</v>
      </c>
      <c r="B49" s="96" t="s">
        <v>340</v>
      </c>
      <c r="C49" s="96" t="s">
        <v>65</v>
      </c>
      <c r="D49" s="44" t="s">
        <v>109</v>
      </c>
      <c r="E49" s="29"/>
      <c r="F49" s="110">
        <f>G49</f>
        <v>0</v>
      </c>
      <c r="G49" s="110"/>
      <c r="H49" s="111"/>
      <c r="I49" s="111"/>
      <c r="J49" s="111"/>
      <c r="K49" s="110">
        <f t="shared" si="4"/>
        <v>0</v>
      </c>
      <c r="L49" s="110"/>
      <c r="M49" s="110"/>
      <c r="N49" s="110"/>
      <c r="O49" s="111"/>
      <c r="P49" s="111">
        <f>L49</f>
        <v>0</v>
      </c>
      <c r="Q49" s="110">
        <f t="shared" si="1"/>
        <v>0</v>
      </c>
      <c r="R49" s="70"/>
      <c r="S49" s="70"/>
      <c r="T49" s="69"/>
    </row>
    <row r="50" spans="1:20" s="15" customFormat="1" ht="55.9" customHeight="1">
      <c r="A50" s="83" t="s">
        <v>134</v>
      </c>
      <c r="B50" s="83" t="s">
        <v>134</v>
      </c>
      <c r="C50" s="87"/>
      <c r="D50" s="88" t="s">
        <v>26</v>
      </c>
      <c r="E50" s="87" t="s">
        <v>26</v>
      </c>
      <c r="F50" s="86">
        <f>F51</f>
        <v>327844802.36000001</v>
      </c>
      <c r="G50" s="86">
        <f t="shared" ref="G50:P50" si="7">G51</f>
        <v>327844802.36000001</v>
      </c>
      <c r="H50" s="86">
        <f t="shared" si="7"/>
        <v>195266383.69</v>
      </c>
      <c r="I50" s="86">
        <f t="shared" si="7"/>
        <v>39304400</v>
      </c>
      <c r="J50" s="86">
        <f t="shared" si="7"/>
        <v>0</v>
      </c>
      <c r="K50" s="86">
        <f t="shared" si="7"/>
        <v>25416337</v>
      </c>
      <c r="L50" s="86">
        <f t="shared" si="7"/>
        <v>13866337</v>
      </c>
      <c r="M50" s="86">
        <f t="shared" si="7"/>
        <v>11550000</v>
      </c>
      <c r="N50" s="86">
        <f t="shared" si="7"/>
        <v>218500</v>
      </c>
      <c r="O50" s="86">
        <f t="shared" si="7"/>
        <v>265000</v>
      </c>
      <c r="P50" s="86">
        <f t="shared" si="7"/>
        <v>13866337</v>
      </c>
      <c r="Q50" s="86">
        <f t="shared" si="1"/>
        <v>353261139.36000001</v>
      </c>
      <c r="R50" s="71"/>
      <c r="S50" s="71"/>
      <c r="T50" s="66"/>
    </row>
    <row r="51" spans="1:20" s="15" customFormat="1" ht="55.9" customHeight="1">
      <c r="A51" s="101" t="s">
        <v>135</v>
      </c>
      <c r="B51" s="101" t="s">
        <v>135</v>
      </c>
      <c r="C51" s="102"/>
      <c r="D51" s="40" t="s">
        <v>168</v>
      </c>
      <c r="E51" s="37"/>
      <c r="F51" s="110">
        <f>G51</f>
        <v>327844802.36000001</v>
      </c>
      <c r="G51" s="110">
        <f>SUM(G52:G84)-G56-G58-G61-G68-G70-G69-G71-G74-G75</f>
        <v>327844802.36000001</v>
      </c>
      <c r="H51" s="110">
        <f>SUM(H52:H84)-H56-H58-H61-H68-H70-H69-H71-H74-H75</f>
        <v>195266383.69</v>
      </c>
      <c r="I51" s="110">
        <f t="shared" ref="I51:P51" si="8">SUM(I52:I84)-I56-I58-I61-I68-I70-I69-I71-I74-I75</f>
        <v>39304400</v>
      </c>
      <c r="J51" s="110">
        <f t="shared" si="8"/>
        <v>0</v>
      </c>
      <c r="K51" s="110">
        <f t="shared" si="8"/>
        <v>25416337</v>
      </c>
      <c r="L51" s="110">
        <f t="shared" si="8"/>
        <v>13866337</v>
      </c>
      <c r="M51" s="110">
        <f t="shared" si="8"/>
        <v>11550000</v>
      </c>
      <c r="N51" s="110">
        <f t="shared" si="8"/>
        <v>218500</v>
      </c>
      <c r="O51" s="110">
        <f t="shared" si="8"/>
        <v>265000</v>
      </c>
      <c r="P51" s="110">
        <f t="shared" si="8"/>
        <v>13866337</v>
      </c>
      <c r="Q51" s="110">
        <f t="shared" si="1"/>
        <v>353261139.36000001</v>
      </c>
      <c r="R51" s="71"/>
      <c r="S51" s="71"/>
      <c r="T51" s="66"/>
    </row>
    <row r="52" spans="1:20" s="4" customFormat="1" ht="77.45" customHeight="1">
      <c r="A52" s="96" t="s">
        <v>137</v>
      </c>
      <c r="B52" s="96" t="s">
        <v>316</v>
      </c>
      <c r="C52" s="96" t="s">
        <v>57</v>
      </c>
      <c r="D52" s="42" t="s">
        <v>454</v>
      </c>
      <c r="E52" s="39" t="s">
        <v>2</v>
      </c>
      <c r="F52" s="110">
        <f t="shared" si="3"/>
        <v>3070900</v>
      </c>
      <c r="G52" s="110">
        <f>2393000+300000+1900+10000+366000</f>
        <v>3070900</v>
      </c>
      <c r="H52" s="111">
        <f>1913000+250000+300000</f>
        <v>2463000</v>
      </c>
      <c r="I52" s="111">
        <v>37000</v>
      </c>
      <c r="J52" s="111"/>
      <c r="K52" s="110">
        <f t="shared" ref="K52:K84" si="9">M52+P52</f>
        <v>0</v>
      </c>
      <c r="L52" s="110"/>
      <c r="M52" s="111"/>
      <c r="N52" s="110"/>
      <c r="O52" s="111"/>
      <c r="P52" s="111"/>
      <c r="Q52" s="110">
        <f t="shared" si="1"/>
        <v>3070900</v>
      </c>
      <c r="R52" s="70"/>
      <c r="S52" s="70"/>
      <c r="T52" s="69"/>
    </row>
    <row r="53" spans="1:20" s="4" customFormat="1" ht="59.1" customHeight="1">
      <c r="A53" s="96" t="s">
        <v>253</v>
      </c>
      <c r="B53" s="96" t="s">
        <v>256</v>
      </c>
      <c r="C53" s="96" t="s">
        <v>68</v>
      </c>
      <c r="D53" s="42" t="s">
        <v>131</v>
      </c>
      <c r="E53" s="39"/>
      <c r="F53" s="110">
        <f t="shared" si="3"/>
        <v>0</v>
      </c>
      <c r="G53" s="110"/>
      <c r="H53" s="111"/>
      <c r="I53" s="111"/>
      <c r="J53" s="111"/>
      <c r="K53" s="110">
        <f t="shared" si="9"/>
        <v>0</v>
      </c>
      <c r="L53" s="110"/>
      <c r="M53" s="111"/>
      <c r="N53" s="110"/>
      <c r="O53" s="111"/>
      <c r="P53" s="111"/>
      <c r="Q53" s="110">
        <f t="shared" si="1"/>
        <v>0</v>
      </c>
      <c r="R53" s="70"/>
      <c r="S53" s="70"/>
      <c r="T53" s="69"/>
    </row>
    <row r="54" spans="1:20" s="4" customFormat="1" ht="30.75" customHeight="1">
      <c r="A54" s="96" t="s">
        <v>138</v>
      </c>
      <c r="B54" s="96" t="s">
        <v>77</v>
      </c>
      <c r="C54" s="96" t="s">
        <v>69</v>
      </c>
      <c r="D54" s="34" t="s">
        <v>139</v>
      </c>
      <c r="E54" s="39" t="s">
        <v>6</v>
      </c>
      <c r="F54" s="110">
        <f t="shared" si="3"/>
        <v>70905900</v>
      </c>
      <c r="G54" s="110">
        <f>70439600+5485000+1000000+14200+975000-50000-250000-10000-625900-6577000-150000+165000+490000</f>
        <v>70905900</v>
      </c>
      <c r="H54" s="111">
        <f>40000000+4400000-508500-5400000</f>
        <v>38491500</v>
      </c>
      <c r="I54" s="111">
        <f>12281600+1000000-250000</f>
        <v>13031600</v>
      </c>
      <c r="J54" s="111"/>
      <c r="K54" s="110">
        <f t="shared" si="9"/>
        <v>4853149</v>
      </c>
      <c r="L54" s="110">
        <f>1025000+25000-975000-5851</f>
        <v>69149</v>
      </c>
      <c r="M54" s="111">
        <f>4784000</f>
        <v>4784000</v>
      </c>
      <c r="N54" s="110"/>
      <c r="O54" s="111"/>
      <c r="P54" s="111">
        <f>L54</f>
        <v>69149</v>
      </c>
      <c r="Q54" s="110">
        <f t="shared" si="1"/>
        <v>75759049</v>
      </c>
      <c r="R54" s="70"/>
      <c r="S54" s="70"/>
      <c r="T54" s="69"/>
    </row>
    <row r="55" spans="1:20" s="4" customFormat="1" ht="46.15" customHeight="1">
      <c r="A55" s="96" t="s">
        <v>140</v>
      </c>
      <c r="B55" s="96" t="s">
        <v>78</v>
      </c>
      <c r="C55" s="96"/>
      <c r="D55" s="59" t="s">
        <v>519</v>
      </c>
      <c r="E55" s="39" t="s">
        <v>38</v>
      </c>
      <c r="F55" s="110">
        <f>G55</f>
        <v>118053634</v>
      </c>
      <c r="G55" s="110">
        <f>G56</f>
        <v>118053634</v>
      </c>
      <c r="H55" s="110">
        <f t="shared" ref="H55:J55" si="10">H56</f>
        <v>48800000</v>
      </c>
      <c r="I55" s="110">
        <f t="shared" si="10"/>
        <v>23392552</v>
      </c>
      <c r="J55" s="110">
        <f t="shared" si="10"/>
        <v>0</v>
      </c>
      <c r="K55" s="110">
        <f t="shared" si="9"/>
        <v>20168851</v>
      </c>
      <c r="L55" s="110">
        <f>L56</f>
        <v>13402851</v>
      </c>
      <c r="M55" s="110">
        <f t="shared" ref="M55:O55" si="11">M56</f>
        <v>6766000</v>
      </c>
      <c r="N55" s="110">
        <f t="shared" si="11"/>
        <v>218500</v>
      </c>
      <c r="O55" s="110">
        <f t="shared" si="11"/>
        <v>265000</v>
      </c>
      <c r="P55" s="111">
        <f>P56</f>
        <v>13402851</v>
      </c>
      <c r="Q55" s="110">
        <f>F55+K55</f>
        <v>138222485</v>
      </c>
      <c r="R55" s="70"/>
      <c r="S55" s="70"/>
      <c r="T55" s="69"/>
    </row>
    <row r="56" spans="1:20" s="4" customFormat="1" ht="78.599999999999994" customHeight="1">
      <c r="A56" s="103" t="s">
        <v>456</v>
      </c>
      <c r="B56" s="103" t="s">
        <v>455</v>
      </c>
      <c r="C56" s="103" t="s">
        <v>70</v>
      </c>
      <c r="D56" s="60" t="s">
        <v>543</v>
      </c>
      <c r="E56" s="39"/>
      <c r="F56" s="110">
        <f>G56</f>
        <v>118053634</v>
      </c>
      <c r="G56" s="110">
        <f>75838500+9500000+16200000+2726200+500000+100000+151000+71000+1610000+75000+100000+580500+35000+930000-73416-650000+800000+98000+6100000-160000+146850+70000+485000+320000+3000000+1400000-1500000-390000-1650000+1180000+460000</f>
        <v>118053634</v>
      </c>
      <c r="H56" s="111">
        <f>32000000+13300000+5000000-1500000</f>
        <v>48800000</v>
      </c>
      <c r="I56" s="111">
        <f>25200000+500000-7448-650000-1650000</f>
        <v>23392552</v>
      </c>
      <c r="J56" s="111"/>
      <c r="K56" s="110">
        <f t="shared" si="9"/>
        <v>20168851</v>
      </c>
      <c r="L56" s="110">
        <f>14247000+38000+20000-930000+250000+36000-250000-70000+1500000-1914000-202925-111224+320000+470000</f>
        <v>13402851</v>
      </c>
      <c r="M56" s="111">
        <v>6766000</v>
      </c>
      <c r="N56" s="110">
        <v>218500</v>
      </c>
      <c r="O56" s="111">
        <v>265000</v>
      </c>
      <c r="P56" s="111">
        <f>L56</f>
        <v>13402851</v>
      </c>
      <c r="Q56" s="110">
        <f>F56+K56</f>
        <v>138222485</v>
      </c>
      <c r="R56" s="70"/>
      <c r="S56" s="70"/>
      <c r="T56" s="69"/>
    </row>
    <row r="57" spans="1:20" s="4" customFormat="1" ht="47.45" customHeight="1">
      <c r="A57" s="96" t="s">
        <v>457</v>
      </c>
      <c r="B57" s="96" t="s">
        <v>74</v>
      </c>
      <c r="C57" s="96"/>
      <c r="D57" s="59" t="s">
        <v>520</v>
      </c>
      <c r="E57" s="39" t="s">
        <v>7</v>
      </c>
      <c r="F57" s="110">
        <f>G57</f>
        <v>109484100</v>
      </c>
      <c r="G57" s="110">
        <f>G58</f>
        <v>109484100</v>
      </c>
      <c r="H57" s="110">
        <f>H58</f>
        <v>89900000</v>
      </c>
      <c r="I57" s="111"/>
      <c r="J57" s="111"/>
      <c r="K57" s="110">
        <f t="shared" si="9"/>
        <v>0</v>
      </c>
      <c r="L57" s="110"/>
      <c r="M57" s="111"/>
      <c r="N57" s="110"/>
      <c r="O57" s="111"/>
      <c r="P57" s="111"/>
      <c r="Q57" s="110">
        <f t="shared" si="1"/>
        <v>109484100</v>
      </c>
      <c r="R57" s="70"/>
      <c r="S57" s="70"/>
      <c r="T57" s="69"/>
    </row>
    <row r="58" spans="1:20" s="4" customFormat="1" ht="70.349999999999994" customHeight="1">
      <c r="A58" s="96" t="s">
        <v>458</v>
      </c>
      <c r="B58" s="96" t="s">
        <v>459</v>
      </c>
      <c r="C58" s="96" t="s">
        <v>70</v>
      </c>
      <c r="D58" s="61" t="s">
        <v>544</v>
      </c>
      <c r="E58" s="39" t="s">
        <v>8</v>
      </c>
      <c r="F58" s="110">
        <f>G58</f>
        <v>109484100</v>
      </c>
      <c r="G58" s="110">
        <v>109484100</v>
      </c>
      <c r="H58" s="111">
        <v>89900000</v>
      </c>
      <c r="I58" s="111"/>
      <c r="J58" s="111"/>
      <c r="K58" s="110">
        <f t="shared" si="9"/>
        <v>0</v>
      </c>
      <c r="L58" s="110"/>
      <c r="M58" s="111"/>
      <c r="N58" s="110"/>
      <c r="O58" s="111"/>
      <c r="P58" s="111"/>
      <c r="Q58" s="110">
        <f t="shared" si="1"/>
        <v>109484100</v>
      </c>
      <c r="R58" s="70"/>
      <c r="S58" s="70"/>
      <c r="T58" s="69"/>
    </row>
    <row r="59" spans="1:20" s="4" customFormat="1" ht="152.1" customHeight="1">
      <c r="A59" s="96" t="s">
        <v>460</v>
      </c>
      <c r="B59" s="96" t="s">
        <v>63</v>
      </c>
      <c r="C59" s="96"/>
      <c r="D59" s="59" t="s">
        <v>545</v>
      </c>
      <c r="E59" s="39"/>
      <c r="F59" s="110">
        <f>F61</f>
        <v>0</v>
      </c>
      <c r="G59" s="110">
        <f t="shared" ref="G59:J59" si="12">G61</f>
        <v>0</v>
      </c>
      <c r="H59" s="110">
        <f t="shared" si="12"/>
        <v>0</v>
      </c>
      <c r="I59" s="110">
        <f t="shared" si="12"/>
        <v>0</v>
      </c>
      <c r="J59" s="110">
        <f t="shared" si="12"/>
        <v>0</v>
      </c>
      <c r="K59" s="110">
        <f t="shared" si="9"/>
        <v>0</v>
      </c>
      <c r="L59" s="110">
        <f>L61</f>
        <v>0</v>
      </c>
      <c r="M59" s="110"/>
      <c r="N59" s="110"/>
      <c r="O59" s="110"/>
      <c r="P59" s="110">
        <f>L59</f>
        <v>0</v>
      </c>
      <c r="Q59" s="110">
        <f t="shared" si="1"/>
        <v>0</v>
      </c>
      <c r="R59" s="70"/>
      <c r="S59" s="70"/>
      <c r="T59" s="69"/>
    </row>
    <row r="60" spans="1:20" s="4" customFormat="1" ht="27.2" hidden="1" customHeight="1">
      <c r="A60" s="137"/>
      <c r="B60" s="96"/>
      <c r="C60" s="104"/>
      <c r="D60" s="39"/>
      <c r="E60" s="39"/>
      <c r="F60" s="120"/>
      <c r="G60" s="120"/>
      <c r="H60" s="121"/>
      <c r="I60" s="111"/>
      <c r="J60" s="111"/>
      <c r="K60" s="110">
        <f t="shared" si="9"/>
        <v>0</v>
      </c>
      <c r="L60" s="110"/>
      <c r="M60" s="111"/>
      <c r="N60" s="110"/>
      <c r="O60" s="111"/>
      <c r="P60" s="111"/>
      <c r="Q60" s="110">
        <f t="shared" si="1"/>
        <v>0</v>
      </c>
      <c r="R60" s="70"/>
      <c r="S60" s="70"/>
      <c r="T60" s="69"/>
    </row>
    <row r="61" spans="1:20" s="4" customFormat="1" ht="155.44999999999999" customHeight="1">
      <c r="A61" s="138" t="s">
        <v>461</v>
      </c>
      <c r="B61" s="96" t="s">
        <v>462</v>
      </c>
      <c r="C61" s="96" t="s">
        <v>70</v>
      </c>
      <c r="D61" s="61" t="s">
        <v>551</v>
      </c>
      <c r="E61" s="39"/>
      <c r="F61" s="120">
        <f>G61</f>
        <v>0</v>
      </c>
      <c r="G61" s="120"/>
      <c r="H61" s="121"/>
      <c r="I61" s="111"/>
      <c r="J61" s="111"/>
      <c r="K61" s="110">
        <f t="shared" si="9"/>
        <v>0</v>
      </c>
      <c r="L61" s="110"/>
      <c r="M61" s="111"/>
      <c r="N61" s="110"/>
      <c r="O61" s="111"/>
      <c r="P61" s="111">
        <f>L61</f>
        <v>0</v>
      </c>
      <c r="Q61" s="110">
        <f t="shared" si="1"/>
        <v>0</v>
      </c>
      <c r="R61" s="70"/>
      <c r="S61" s="70"/>
      <c r="T61" s="69"/>
    </row>
    <row r="62" spans="1:20" s="4" customFormat="1" ht="140.44999999999999" customHeight="1">
      <c r="A62" s="96" t="s">
        <v>463</v>
      </c>
      <c r="B62" s="96" t="s">
        <v>279</v>
      </c>
      <c r="C62" s="96"/>
      <c r="D62" s="59" t="s">
        <v>546</v>
      </c>
      <c r="E62" s="39"/>
      <c r="F62" s="110">
        <f>G62</f>
        <v>0</v>
      </c>
      <c r="G62" s="110"/>
      <c r="H62" s="122"/>
      <c r="I62" s="111"/>
      <c r="J62" s="111"/>
      <c r="K62" s="110">
        <f t="shared" si="9"/>
        <v>0</v>
      </c>
      <c r="L62" s="110"/>
      <c r="M62" s="111"/>
      <c r="N62" s="110"/>
      <c r="O62" s="111"/>
      <c r="P62" s="111"/>
      <c r="Q62" s="110">
        <f t="shared" si="1"/>
        <v>0</v>
      </c>
      <c r="R62" s="70"/>
      <c r="S62" s="70"/>
      <c r="T62" s="69"/>
    </row>
    <row r="63" spans="1:20" s="4" customFormat="1" ht="111.6" customHeight="1">
      <c r="A63" s="96" t="s">
        <v>464</v>
      </c>
      <c r="B63" s="96" t="s">
        <v>465</v>
      </c>
      <c r="C63" s="100" t="s">
        <v>70</v>
      </c>
      <c r="D63" s="61" t="s">
        <v>547</v>
      </c>
      <c r="E63" s="48"/>
      <c r="F63" s="117">
        <v>0</v>
      </c>
      <c r="G63" s="110"/>
      <c r="H63" s="111"/>
      <c r="I63" s="111"/>
      <c r="J63" s="111"/>
      <c r="K63" s="110">
        <f t="shared" si="9"/>
        <v>0</v>
      </c>
      <c r="L63" s="110"/>
      <c r="M63" s="111"/>
      <c r="N63" s="110"/>
      <c r="O63" s="111"/>
      <c r="P63" s="111"/>
      <c r="Q63" s="110">
        <f t="shared" si="1"/>
        <v>0</v>
      </c>
      <c r="R63" s="70"/>
      <c r="S63" s="70"/>
      <c r="T63" s="69"/>
    </row>
    <row r="64" spans="1:20" s="4" customFormat="1" ht="70.349999999999994" customHeight="1">
      <c r="A64" s="96" t="s">
        <v>466</v>
      </c>
      <c r="B64" s="96" t="s">
        <v>75</v>
      </c>
      <c r="C64" s="100" t="s">
        <v>71</v>
      </c>
      <c r="D64" s="59" t="s">
        <v>467</v>
      </c>
      <c r="E64" s="48" t="s">
        <v>42</v>
      </c>
      <c r="F64" s="117">
        <f>G64+J64</f>
        <v>11525316</v>
      </c>
      <c r="G64" s="110">
        <f>9062700+1200000+300000+14200+25000+50000+250000+73416+650000-100000</f>
        <v>11525316</v>
      </c>
      <c r="H64" s="111">
        <f>6450000+1000000</f>
        <v>7450000</v>
      </c>
      <c r="I64" s="111">
        <f>570000+250000+7448</f>
        <v>827448</v>
      </c>
      <c r="J64" s="111"/>
      <c r="K64" s="110">
        <f t="shared" si="9"/>
        <v>350000</v>
      </c>
      <c r="L64" s="110">
        <f>350000</f>
        <v>350000</v>
      </c>
      <c r="M64" s="111"/>
      <c r="N64" s="110"/>
      <c r="O64" s="111"/>
      <c r="P64" s="111">
        <f>L64</f>
        <v>350000</v>
      </c>
      <c r="Q64" s="110">
        <f t="shared" si="1"/>
        <v>11875316</v>
      </c>
      <c r="R64" s="70"/>
      <c r="S64" s="70"/>
      <c r="T64" s="69"/>
    </row>
    <row r="65" spans="1:20" s="4" customFormat="1" ht="50.45" customHeight="1">
      <c r="A65" s="96" t="s">
        <v>512</v>
      </c>
      <c r="B65" s="96" t="s">
        <v>470</v>
      </c>
      <c r="C65" s="100" t="s">
        <v>72</v>
      </c>
      <c r="D65" s="59" t="s">
        <v>210</v>
      </c>
      <c r="E65" s="48"/>
      <c r="F65" s="117">
        <f t="shared" ref="F65:F66" si="13">G65+J65</f>
        <v>9250611.2999999989</v>
      </c>
      <c r="G65" s="110">
        <f>7163500+615000+192000+290000+199000-60000+198000+625900+355000+298000-508456.31-117332.39</f>
        <v>9250611.2999999989</v>
      </c>
      <c r="H65" s="111">
        <f>4200000+500000+508500+300000-508456.31</f>
        <v>5000043.6900000004</v>
      </c>
      <c r="I65" s="111">
        <f>1462000-60000</f>
        <v>1402000</v>
      </c>
      <c r="J65" s="111"/>
      <c r="K65" s="110">
        <f t="shared" si="9"/>
        <v>0</v>
      </c>
      <c r="L65" s="110"/>
      <c r="M65" s="111"/>
      <c r="N65" s="110"/>
      <c r="O65" s="111"/>
      <c r="P65" s="111">
        <f>L65</f>
        <v>0</v>
      </c>
      <c r="Q65" s="110">
        <f>F65+K65</f>
        <v>9250611.2999999989</v>
      </c>
      <c r="R65" s="70"/>
      <c r="S65" s="70"/>
      <c r="T65" s="69"/>
    </row>
    <row r="66" spans="1:20" s="4" customFormat="1" ht="41.45" customHeight="1">
      <c r="A66" s="96" t="s">
        <v>471</v>
      </c>
      <c r="B66" s="96" t="s">
        <v>472</v>
      </c>
      <c r="C66" s="100" t="s">
        <v>72</v>
      </c>
      <c r="D66" s="59" t="s">
        <v>248</v>
      </c>
      <c r="E66" s="48"/>
      <c r="F66" s="117">
        <f t="shared" si="13"/>
        <v>68100</v>
      </c>
      <c r="G66" s="110">
        <f>18100+50000</f>
        <v>68100</v>
      </c>
      <c r="H66" s="111"/>
      <c r="I66" s="111"/>
      <c r="J66" s="111"/>
      <c r="K66" s="110">
        <f t="shared" si="9"/>
        <v>0</v>
      </c>
      <c r="L66" s="110"/>
      <c r="M66" s="111"/>
      <c r="N66" s="110"/>
      <c r="O66" s="111"/>
      <c r="P66" s="111"/>
      <c r="Q66" s="110">
        <f t="shared" si="1"/>
        <v>68100</v>
      </c>
      <c r="R66" s="70"/>
      <c r="S66" s="70"/>
      <c r="T66" s="69"/>
    </row>
    <row r="67" spans="1:20" s="4" customFormat="1" ht="50.45" customHeight="1">
      <c r="A67" s="96" t="s">
        <v>141</v>
      </c>
      <c r="B67" s="96" t="s">
        <v>342</v>
      </c>
      <c r="C67" s="100"/>
      <c r="D67" s="59" t="s">
        <v>473</v>
      </c>
      <c r="E67" s="48"/>
      <c r="F67" s="117">
        <f>F68+F69+F70+F71</f>
        <v>1919900</v>
      </c>
      <c r="G67" s="117">
        <f t="shared" ref="G67:J67" si="14">G68+G69+G70+G71</f>
        <v>1919900</v>
      </c>
      <c r="H67" s="117">
        <f t="shared" si="14"/>
        <v>1353400</v>
      </c>
      <c r="I67" s="117">
        <f t="shared" si="14"/>
        <v>179000</v>
      </c>
      <c r="J67" s="117">
        <f t="shared" si="14"/>
        <v>0</v>
      </c>
      <c r="K67" s="110">
        <f t="shared" ref="K67:P67" si="15">K68+K69+K70+K71</f>
        <v>0</v>
      </c>
      <c r="L67" s="110">
        <f t="shared" si="15"/>
        <v>0</v>
      </c>
      <c r="M67" s="110">
        <f t="shared" si="15"/>
        <v>0</v>
      </c>
      <c r="N67" s="110">
        <f t="shared" si="15"/>
        <v>0</v>
      </c>
      <c r="O67" s="110">
        <f t="shared" si="15"/>
        <v>0</v>
      </c>
      <c r="P67" s="110">
        <f t="shared" si="15"/>
        <v>0</v>
      </c>
      <c r="Q67" s="110">
        <f t="shared" si="1"/>
        <v>1919900</v>
      </c>
      <c r="R67" s="70"/>
      <c r="S67" s="70"/>
      <c r="T67" s="69"/>
    </row>
    <row r="68" spans="1:20" s="4" customFormat="1" ht="72.75" customHeight="1">
      <c r="A68" s="96" t="s">
        <v>474</v>
      </c>
      <c r="B68" s="96" t="s">
        <v>478</v>
      </c>
      <c r="C68" s="100" t="s">
        <v>72</v>
      </c>
      <c r="D68" s="61" t="s">
        <v>482</v>
      </c>
      <c r="E68" s="39"/>
      <c r="F68" s="110">
        <f t="shared" ref="F68:F76" si="16">G68</f>
        <v>337300</v>
      </c>
      <c r="G68" s="110">
        <f>671300-244000-90000</f>
        <v>337300</v>
      </c>
      <c r="H68" s="111">
        <f>253400-200000</f>
        <v>53400</v>
      </c>
      <c r="I68" s="111">
        <v>179000</v>
      </c>
      <c r="J68" s="111"/>
      <c r="K68" s="110">
        <f t="shared" si="9"/>
        <v>0</v>
      </c>
      <c r="L68" s="110"/>
      <c r="M68" s="111"/>
      <c r="N68" s="110"/>
      <c r="O68" s="111"/>
      <c r="P68" s="111"/>
      <c r="Q68" s="110">
        <f t="shared" si="1"/>
        <v>337300</v>
      </c>
      <c r="R68" s="70"/>
      <c r="S68" s="70"/>
      <c r="T68" s="69"/>
    </row>
    <row r="69" spans="1:20" s="4" customFormat="1" ht="78.599999999999994" customHeight="1">
      <c r="A69" s="96" t="s">
        <v>475</v>
      </c>
      <c r="B69" s="96" t="s">
        <v>479</v>
      </c>
      <c r="C69" s="100" t="s">
        <v>72</v>
      </c>
      <c r="D69" s="61" t="s">
        <v>483</v>
      </c>
      <c r="E69" s="39"/>
      <c r="F69" s="110">
        <f t="shared" si="16"/>
        <v>1582600</v>
      </c>
      <c r="G69" s="110">
        <v>1582600</v>
      </c>
      <c r="H69" s="111">
        <v>1300000</v>
      </c>
      <c r="I69" s="111"/>
      <c r="J69" s="111"/>
      <c r="K69" s="110">
        <f t="shared" si="9"/>
        <v>0</v>
      </c>
      <c r="L69" s="110"/>
      <c r="M69" s="111"/>
      <c r="N69" s="110"/>
      <c r="O69" s="111"/>
      <c r="P69" s="111"/>
      <c r="Q69" s="110">
        <f t="shared" si="1"/>
        <v>1582600</v>
      </c>
      <c r="R69" s="70"/>
      <c r="S69" s="70"/>
      <c r="T69" s="69"/>
    </row>
    <row r="70" spans="1:20" s="4" customFormat="1" ht="173.45" customHeight="1">
      <c r="A70" s="96" t="s">
        <v>476</v>
      </c>
      <c r="B70" s="96" t="s">
        <v>480</v>
      </c>
      <c r="C70" s="100" t="s">
        <v>72</v>
      </c>
      <c r="D70" s="61" t="s">
        <v>548</v>
      </c>
      <c r="E70" s="39"/>
      <c r="F70" s="110">
        <f t="shared" si="16"/>
        <v>0</v>
      </c>
      <c r="G70" s="110"/>
      <c r="H70" s="111"/>
      <c r="I70" s="111"/>
      <c r="J70" s="111"/>
      <c r="K70" s="110">
        <f t="shared" si="9"/>
        <v>0</v>
      </c>
      <c r="L70" s="110"/>
      <c r="M70" s="111"/>
      <c r="N70" s="110"/>
      <c r="O70" s="111"/>
      <c r="P70" s="111"/>
      <c r="Q70" s="110">
        <f t="shared" si="1"/>
        <v>0</v>
      </c>
      <c r="R70" s="70"/>
      <c r="S70" s="70"/>
      <c r="T70" s="69"/>
    </row>
    <row r="71" spans="1:20" s="4" customFormat="1" ht="181.9" customHeight="1">
      <c r="A71" s="96" t="s">
        <v>477</v>
      </c>
      <c r="B71" s="96" t="s">
        <v>481</v>
      </c>
      <c r="C71" s="100" t="s">
        <v>72</v>
      </c>
      <c r="D71" s="61" t="s">
        <v>549</v>
      </c>
      <c r="E71" s="39"/>
      <c r="F71" s="110">
        <f t="shared" si="16"/>
        <v>0</v>
      </c>
      <c r="G71" s="110"/>
      <c r="H71" s="111"/>
      <c r="I71" s="111"/>
      <c r="J71" s="111"/>
      <c r="K71" s="110">
        <f t="shared" si="9"/>
        <v>0</v>
      </c>
      <c r="L71" s="110"/>
      <c r="M71" s="111"/>
      <c r="N71" s="110"/>
      <c r="O71" s="111"/>
      <c r="P71" s="111">
        <f>L71</f>
        <v>0</v>
      </c>
      <c r="Q71" s="110">
        <f t="shared" si="1"/>
        <v>0</v>
      </c>
      <c r="R71" s="70"/>
      <c r="S71" s="70"/>
      <c r="T71" s="69"/>
    </row>
    <row r="72" spans="1:20" s="4" customFormat="1" ht="69" customHeight="1">
      <c r="A72" s="96" t="s">
        <v>484</v>
      </c>
      <c r="B72" s="96" t="s">
        <v>485</v>
      </c>
      <c r="C72" s="96" t="s">
        <v>72</v>
      </c>
      <c r="D72" s="62" t="s">
        <v>486</v>
      </c>
      <c r="E72" s="39"/>
      <c r="F72" s="110">
        <f t="shared" si="16"/>
        <v>2376300</v>
      </c>
      <c r="G72" s="110">
        <f>2456300+130000+60000-240000-30000</f>
        <v>2376300</v>
      </c>
      <c r="H72" s="111">
        <f>1400000+115000</f>
        <v>1515000</v>
      </c>
      <c r="I72" s="111">
        <f>374800+60000</f>
        <v>434800</v>
      </c>
      <c r="J72" s="111"/>
      <c r="K72" s="110">
        <f t="shared" si="9"/>
        <v>0</v>
      </c>
      <c r="L72" s="110"/>
      <c r="M72" s="111"/>
      <c r="N72" s="110"/>
      <c r="O72" s="111"/>
      <c r="P72" s="111">
        <f t="shared" ref="P72:P75" si="17">L72</f>
        <v>0</v>
      </c>
      <c r="Q72" s="110">
        <f t="shared" si="1"/>
        <v>2376300</v>
      </c>
      <c r="R72" s="70"/>
      <c r="S72" s="70"/>
      <c r="T72" s="69"/>
    </row>
    <row r="73" spans="1:20" s="4" customFormat="1" ht="113.45" customHeight="1">
      <c r="A73" s="96" t="s">
        <v>487</v>
      </c>
      <c r="B73" s="96" t="s">
        <v>488</v>
      </c>
      <c r="C73" s="96"/>
      <c r="D73" s="62" t="s">
        <v>489</v>
      </c>
      <c r="E73" s="39"/>
      <c r="F73" s="110">
        <f>F74+F75</f>
        <v>0</v>
      </c>
      <c r="G73" s="110"/>
      <c r="H73" s="110"/>
      <c r="I73" s="110"/>
      <c r="J73" s="110"/>
      <c r="K73" s="110">
        <f t="shared" ref="K73" si="18">K74+K75</f>
        <v>0</v>
      </c>
      <c r="L73" s="110"/>
      <c r="M73" s="110"/>
      <c r="N73" s="110"/>
      <c r="O73" s="110"/>
      <c r="P73" s="111">
        <f t="shared" si="17"/>
        <v>0</v>
      </c>
      <c r="Q73" s="110">
        <f t="shared" si="1"/>
        <v>0</v>
      </c>
      <c r="R73" s="70"/>
      <c r="S73" s="70"/>
      <c r="T73" s="69"/>
    </row>
    <row r="74" spans="1:20" s="4" customFormat="1" ht="161.44999999999999" customHeight="1">
      <c r="A74" s="96" t="s">
        <v>490</v>
      </c>
      <c r="B74" s="96" t="s">
        <v>491</v>
      </c>
      <c r="C74" s="96" t="s">
        <v>72</v>
      </c>
      <c r="D74" s="61" t="s">
        <v>521</v>
      </c>
      <c r="E74" s="39"/>
      <c r="F74" s="110">
        <f t="shared" si="16"/>
        <v>0</v>
      </c>
      <c r="G74" s="110"/>
      <c r="H74" s="111"/>
      <c r="I74" s="111"/>
      <c r="J74" s="111"/>
      <c r="K74" s="110">
        <f t="shared" si="9"/>
        <v>0</v>
      </c>
      <c r="L74" s="110"/>
      <c r="M74" s="111"/>
      <c r="N74" s="110"/>
      <c r="O74" s="111"/>
      <c r="P74" s="111">
        <f t="shared" si="17"/>
        <v>0</v>
      </c>
      <c r="Q74" s="110">
        <f t="shared" si="1"/>
        <v>0</v>
      </c>
      <c r="R74" s="70"/>
      <c r="S74" s="70"/>
      <c r="T74" s="69"/>
    </row>
    <row r="75" spans="1:20" s="4" customFormat="1" ht="149.1" customHeight="1">
      <c r="A75" s="96" t="s">
        <v>493</v>
      </c>
      <c r="B75" s="96" t="s">
        <v>492</v>
      </c>
      <c r="C75" s="96" t="s">
        <v>72</v>
      </c>
      <c r="D75" s="61" t="s">
        <v>522</v>
      </c>
      <c r="E75" s="39"/>
      <c r="F75" s="110">
        <f t="shared" si="16"/>
        <v>0</v>
      </c>
      <c r="G75" s="110"/>
      <c r="H75" s="111"/>
      <c r="I75" s="111"/>
      <c r="J75" s="111"/>
      <c r="K75" s="110">
        <f t="shared" si="9"/>
        <v>0</v>
      </c>
      <c r="L75" s="110"/>
      <c r="M75" s="111"/>
      <c r="N75" s="110"/>
      <c r="O75" s="111"/>
      <c r="P75" s="111">
        <f t="shared" si="17"/>
        <v>0</v>
      </c>
      <c r="Q75" s="110">
        <f t="shared" si="1"/>
        <v>0</v>
      </c>
      <c r="R75" s="70"/>
      <c r="S75" s="70"/>
      <c r="T75" s="69"/>
    </row>
    <row r="76" spans="1:20" s="4" customFormat="1" ht="116.1" customHeight="1">
      <c r="A76" s="96" t="s">
        <v>496</v>
      </c>
      <c r="B76" s="96" t="s">
        <v>494</v>
      </c>
      <c r="C76" s="96" t="s">
        <v>72</v>
      </c>
      <c r="D76" s="59" t="s">
        <v>495</v>
      </c>
      <c r="E76" s="39"/>
      <c r="F76" s="110">
        <f t="shared" si="16"/>
        <v>271200</v>
      </c>
      <c r="G76" s="110">
        <v>271200</v>
      </c>
      <c r="H76" s="111">
        <v>222300</v>
      </c>
      <c r="I76" s="111"/>
      <c r="J76" s="111"/>
      <c r="K76" s="110">
        <f t="shared" si="9"/>
        <v>0</v>
      </c>
      <c r="L76" s="110"/>
      <c r="M76" s="111"/>
      <c r="N76" s="110"/>
      <c r="O76" s="111"/>
      <c r="P76" s="111">
        <f>L76</f>
        <v>0</v>
      </c>
      <c r="Q76" s="110">
        <f t="shared" si="1"/>
        <v>271200</v>
      </c>
      <c r="R76" s="70"/>
      <c r="S76" s="70"/>
      <c r="T76" s="69"/>
    </row>
    <row r="77" spans="1:20" s="4" customFormat="1" ht="123" customHeight="1">
      <c r="A77" s="96" t="s">
        <v>497</v>
      </c>
      <c r="B77" s="96" t="s">
        <v>498</v>
      </c>
      <c r="C77" s="96" t="s">
        <v>72</v>
      </c>
      <c r="D77" s="59" t="s">
        <v>550</v>
      </c>
      <c r="E77" s="39"/>
      <c r="F77" s="110">
        <f t="shared" ref="F77:F84" si="19">G77</f>
        <v>198966.48</v>
      </c>
      <c r="G77" s="110">
        <f>198966.48</f>
        <v>198966.48</v>
      </c>
      <c r="H77" s="111">
        <v>71140</v>
      </c>
      <c r="I77" s="111"/>
      <c r="J77" s="111"/>
      <c r="K77" s="110">
        <f t="shared" si="9"/>
        <v>0</v>
      </c>
      <c r="L77" s="110"/>
      <c r="M77" s="111"/>
      <c r="N77" s="110"/>
      <c r="O77" s="111"/>
      <c r="P77" s="111"/>
      <c r="Q77" s="110">
        <f t="shared" si="1"/>
        <v>198966.48</v>
      </c>
      <c r="R77" s="70"/>
      <c r="S77" s="70"/>
      <c r="T77" s="69"/>
    </row>
    <row r="78" spans="1:20" s="4" customFormat="1" ht="120.2" customHeight="1">
      <c r="A78" s="96" t="s">
        <v>561</v>
      </c>
      <c r="B78" s="96" t="s">
        <v>562</v>
      </c>
      <c r="C78" s="96" t="s">
        <v>72</v>
      </c>
      <c r="D78" s="59" t="s">
        <v>565</v>
      </c>
      <c r="E78" s="39"/>
      <c r="F78" s="110">
        <f t="shared" si="19"/>
        <v>0</v>
      </c>
      <c r="G78" s="110"/>
      <c r="H78" s="111"/>
      <c r="I78" s="111"/>
      <c r="J78" s="111"/>
      <c r="K78" s="110">
        <f t="shared" si="9"/>
        <v>0</v>
      </c>
      <c r="L78" s="110">
        <f>1402770-1402770</f>
        <v>0</v>
      </c>
      <c r="M78" s="111"/>
      <c r="N78" s="110"/>
      <c r="O78" s="111"/>
      <c r="P78" s="111">
        <f>L78</f>
        <v>0</v>
      </c>
      <c r="Q78" s="110">
        <f t="shared" si="1"/>
        <v>0</v>
      </c>
      <c r="R78" s="70"/>
      <c r="S78" s="70"/>
      <c r="T78" s="69"/>
    </row>
    <row r="79" spans="1:20" s="4" customFormat="1" ht="110.1" customHeight="1">
      <c r="A79" s="96" t="s">
        <v>563</v>
      </c>
      <c r="B79" s="96" t="s">
        <v>564</v>
      </c>
      <c r="C79" s="96" t="s">
        <v>72</v>
      </c>
      <c r="D79" s="59" t="s">
        <v>566</v>
      </c>
      <c r="E79" s="39"/>
      <c r="F79" s="110">
        <f t="shared" si="19"/>
        <v>0</v>
      </c>
      <c r="G79" s="110"/>
      <c r="H79" s="111"/>
      <c r="I79" s="111"/>
      <c r="J79" s="111"/>
      <c r="K79" s="110">
        <f t="shared" si="9"/>
        <v>0</v>
      </c>
      <c r="L79" s="110">
        <f>3273140-3273140</f>
        <v>0</v>
      </c>
      <c r="M79" s="111"/>
      <c r="N79" s="110"/>
      <c r="O79" s="111"/>
      <c r="P79" s="111">
        <f>L79</f>
        <v>0</v>
      </c>
      <c r="Q79" s="110">
        <f t="shared" si="1"/>
        <v>0</v>
      </c>
      <c r="R79" s="70"/>
      <c r="S79" s="70"/>
      <c r="T79" s="69"/>
    </row>
    <row r="80" spans="1:20" s="4" customFormat="1" ht="41.1" customHeight="1">
      <c r="A80" s="96" t="s">
        <v>301</v>
      </c>
      <c r="B80" s="96" t="s">
        <v>333</v>
      </c>
      <c r="C80" s="96" t="s">
        <v>66</v>
      </c>
      <c r="D80" s="59" t="s">
        <v>110</v>
      </c>
      <c r="E80" s="39"/>
      <c r="F80" s="110">
        <f t="shared" si="19"/>
        <v>0</v>
      </c>
      <c r="G80" s="110"/>
      <c r="H80" s="111"/>
      <c r="I80" s="111"/>
      <c r="J80" s="111"/>
      <c r="K80" s="110">
        <f t="shared" si="9"/>
        <v>0</v>
      </c>
      <c r="L80" s="110"/>
      <c r="M80" s="111"/>
      <c r="N80" s="110"/>
      <c r="O80" s="111"/>
      <c r="P80" s="111"/>
      <c r="Q80" s="110">
        <f t="shared" si="1"/>
        <v>0</v>
      </c>
      <c r="R80" s="70"/>
      <c r="S80" s="70"/>
      <c r="T80" s="69"/>
    </row>
    <row r="81" spans="1:20" s="4" customFormat="1" ht="39.4" customHeight="1">
      <c r="A81" s="96" t="s">
        <v>537</v>
      </c>
      <c r="B81" s="96" t="s">
        <v>538</v>
      </c>
      <c r="C81" s="96" t="s">
        <v>79</v>
      </c>
      <c r="D81" s="34" t="s">
        <v>539</v>
      </c>
      <c r="E81" s="39"/>
      <c r="F81" s="110">
        <f t="shared" si="19"/>
        <v>0</v>
      </c>
      <c r="G81" s="110"/>
      <c r="H81" s="111"/>
      <c r="I81" s="111"/>
      <c r="J81" s="111"/>
      <c r="K81" s="110">
        <f t="shared" si="9"/>
        <v>44337</v>
      </c>
      <c r="L81" s="110">
        <f>7354934+1350000-650000-700000-637500-1815500-720000-4175097+37500+250000+70000-320000</f>
        <v>44337</v>
      </c>
      <c r="M81" s="111"/>
      <c r="N81" s="110"/>
      <c r="O81" s="111"/>
      <c r="P81" s="111">
        <f>L81</f>
        <v>44337</v>
      </c>
      <c r="Q81" s="110">
        <f t="shared" si="1"/>
        <v>44337</v>
      </c>
      <c r="R81" s="70"/>
      <c r="S81" s="70"/>
      <c r="T81" s="69"/>
    </row>
    <row r="82" spans="1:20" s="4" customFormat="1" ht="55.35" customHeight="1">
      <c r="A82" s="96" t="s">
        <v>288</v>
      </c>
      <c r="B82" s="96" t="s">
        <v>344</v>
      </c>
      <c r="C82" s="96" t="s">
        <v>196</v>
      </c>
      <c r="D82" s="34" t="s">
        <v>289</v>
      </c>
      <c r="E82" s="39"/>
      <c r="F82" s="110">
        <f t="shared" si="19"/>
        <v>0</v>
      </c>
      <c r="G82" s="110"/>
      <c r="H82" s="111"/>
      <c r="I82" s="111"/>
      <c r="J82" s="111"/>
      <c r="K82" s="110">
        <f t="shared" si="9"/>
        <v>0</v>
      </c>
      <c r="L82" s="110"/>
      <c r="M82" s="111"/>
      <c r="N82" s="110"/>
      <c r="O82" s="111"/>
      <c r="P82" s="111"/>
      <c r="Q82" s="110">
        <f t="shared" si="1"/>
        <v>0</v>
      </c>
      <c r="R82" s="70"/>
      <c r="S82" s="70"/>
      <c r="T82" s="69"/>
    </row>
    <row r="83" spans="1:20" s="4" customFormat="1" ht="55.35" customHeight="1">
      <c r="A83" s="96" t="s">
        <v>416</v>
      </c>
      <c r="B83" s="96" t="s">
        <v>409</v>
      </c>
      <c r="C83" s="96" t="s">
        <v>410</v>
      </c>
      <c r="D83" s="34" t="s">
        <v>411</v>
      </c>
      <c r="E83" s="39"/>
      <c r="F83" s="110">
        <f t="shared" si="19"/>
        <v>719874.58000000007</v>
      </c>
      <c r="G83" s="110">
        <f>975000+11000+255000+500+2150500-146850-2177100-348175.42</f>
        <v>719874.58000000007</v>
      </c>
      <c r="H83" s="114"/>
      <c r="I83" s="114"/>
      <c r="J83" s="114"/>
      <c r="K83" s="110">
        <f t="shared" si="9"/>
        <v>0</v>
      </c>
      <c r="L83" s="113">
        <f>25000+36000-25000-36000</f>
        <v>0</v>
      </c>
      <c r="M83" s="113"/>
      <c r="N83" s="113"/>
      <c r="O83" s="114"/>
      <c r="P83" s="114">
        <f>L83</f>
        <v>0</v>
      </c>
      <c r="Q83" s="110">
        <f>F83+K83</f>
        <v>719874.58000000007</v>
      </c>
      <c r="R83" s="70"/>
      <c r="S83" s="70"/>
      <c r="T83" s="69"/>
    </row>
    <row r="84" spans="1:20" s="4" customFormat="1" ht="42.75" customHeight="1">
      <c r="A84" s="105" t="s">
        <v>266</v>
      </c>
      <c r="B84" s="96" t="s">
        <v>336</v>
      </c>
      <c r="C84" s="105" t="s">
        <v>82</v>
      </c>
      <c r="D84" s="44" t="s">
        <v>133</v>
      </c>
      <c r="E84" s="48"/>
      <c r="F84" s="110">
        <f t="shared" si="19"/>
        <v>0</v>
      </c>
      <c r="G84" s="110"/>
      <c r="H84" s="111"/>
      <c r="I84" s="111"/>
      <c r="J84" s="111"/>
      <c r="K84" s="110">
        <f t="shared" si="9"/>
        <v>0</v>
      </c>
      <c r="L84" s="110"/>
      <c r="M84" s="111"/>
      <c r="N84" s="110"/>
      <c r="O84" s="111"/>
      <c r="P84" s="111">
        <f>L84</f>
        <v>0</v>
      </c>
      <c r="Q84" s="110">
        <f t="shared" si="1"/>
        <v>0</v>
      </c>
      <c r="R84" s="70"/>
      <c r="S84" s="70"/>
      <c r="T84" s="69"/>
    </row>
    <row r="85" spans="1:20" s="4" customFormat="1" ht="51" hidden="1" customHeight="1">
      <c r="A85" s="96" t="s">
        <v>314</v>
      </c>
      <c r="B85" s="96" t="s">
        <v>339</v>
      </c>
      <c r="C85" s="96" t="s">
        <v>67</v>
      </c>
      <c r="D85" s="34" t="s">
        <v>246</v>
      </c>
      <c r="E85" s="2"/>
      <c r="F85" s="117">
        <f t="shared" si="3"/>
        <v>0</v>
      </c>
      <c r="G85" s="110"/>
      <c r="H85" s="111"/>
      <c r="I85" s="111"/>
      <c r="J85" s="111"/>
      <c r="K85" s="110">
        <f t="shared" ref="K85" si="20">M85+P85</f>
        <v>0</v>
      </c>
      <c r="L85" s="110"/>
      <c r="M85" s="111"/>
      <c r="N85" s="110"/>
      <c r="O85" s="111"/>
      <c r="P85" s="111"/>
      <c r="Q85" s="110">
        <f t="shared" si="1"/>
        <v>0</v>
      </c>
      <c r="R85" s="70"/>
      <c r="S85" s="70"/>
      <c r="T85" s="69"/>
    </row>
    <row r="86" spans="1:20" s="15" customFormat="1" ht="75.2" customHeight="1">
      <c r="A86" s="83" t="s">
        <v>148</v>
      </c>
      <c r="B86" s="83" t="s">
        <v>148</v>
      </c>
      <c r="C86" s="89"/>
      <c r="D86" s="88" t="s">
        <v>429</v>
      </c>
      <c r="E86" s="87" t="s">
        <v>31</v>
      </c>
      <c r="F86" s="86">
        <f>F87</f>
        <v>54772202</v>
      </c>
      <c r="G86" s="86">
        <f t="shared" ref="G86:P86" si="21">G87</f>
        <v>54772202</v>
      </c>
      <c r="H86" s="86">
        <f t="shared" si="21"/>
        <v>31009200</v>
      </c>
      <c r="I86" s="86">
        <f t="shared" si="21"/>
        <v>1860100</v>
      </c>
      <c r="J86" s="86">
        <f t="shared" si="21"/>
        <v>0</v>
      </c>
      <c r="K86" s="86">
        <f t="shared" si="21"/>
        <v>1473000</v>
      </c>
      <c r="L86" s="86">
        <f t="shared" si="21"/>
        <v>1224000</v>
      </c>
      <c r="M86" s="86">
        <f t="shared" si="21"/>
        <v>249000</v>
      </c>
      <c r="N86" s="86">
        <f t="shared" si="21"/>
        <v>181000</v>
      </c>
      <c r="O86" s="86">
        <f t="shared" si="21"/>
        <v>0</v>
      </c>
      <c r="P86" s="86">
        <f t="shared" si="21"/>
        <v>1224000</v>
      </c>
      <c r="Q86" s="86">
        <f t="shared" si="1"/>
        <v>56245202</v>
      </c>
      <c r="R86" s="67"/>
      <c r="S86" s="71"/>
      <c r="T86" s="66"/>
    </row>
    <row r="87" spans="1:20" s="15" customFormat="1" ht="58.7" customHeight="1">
      <c r="A87" s="101" t="s">
        <v>149</v>
      </c>
      <c r="B87" s="101" t="s">
        <v>149</v>
      </c>
      <c r="C87" s="96"/>
      <c r="D87" s="40" t="str">
        <f>D86</f>
        <v>Управління  соціального захисту населення  міської ради</v>
      </c>
      <c r="E87" s="37"/>
      <c r="F87" s="110">
        <f>G87+J87</f>
        <v>54772202</v>
      </c>
      <c r="G87" s="110">
        <f>G88+G89+G90+G91+G92+G93+G94+G95+G96+G97+G98+G107+G109+G110+G111+G112+G113+G114+G115+G117+G118+G119+G120+G123+G122+G121+G116</f>
        <v>54772202</v>
      </c>
      <c r="H87" s="110">
        <f>H88+H89+H90+H91+H92+H93+H94+H95+H96+H97+H98+H107+H109+H110+H111+H112+H113+H114+H115+H117+H118+H119+H120+H123+H122+H121+H116</f>
        <v>31009200</v>
      </c>
      <c r="I87" s="110">
        <f t="shared" ref="I87:P87" si="22">I88+I89+I90+I91+I92+I93+I94+I95+I96+I97+I98+I107+I109+I110+I111+I112+I113+I114+I115+I117+I118+I119+I120+I123+I122+I121+I116</f>
        <v>1860100</v>
      </c>
      <c r="J87" s="110">
        <f t="shared" si="22"/>
        <v>0</v>
      </c>
      <c r="K87" s="110">
        <f t="shared" si="22"/>
        <v>1473000</v>
      </c>
      <c r="L87" s="110">
        <f t="shared" si="22"/>
        <v>1224000</v>
      </c>
      <c r="M87" s="110">
        <f t="shared" si="22"/>
        <v>249000</v>
      </c>
      <c r="N87" s="110">
        <f t="shared" si="22"/>
        <v>181000</v>
      </c>
      <c r="O87" s="110">
        <f t="shared" si="22"/>
        <v>0</v>
      </c>
      <c r="P87" s="110">
        <f t="shared" si="22"/>
        <v>1224000</v>
      </c>
      <c r="Q87" s="110">
        <f t="shared" si="1"/>
        <v>56245202</v>
      </c>
      <c r="R87" s="71"/>
      <c r="S87" s="71"/>
      <c r="T87" s="66"/>
    </row>
    <row r="88" spans="1:20" s="4" customFormat="1" ht="82.15" customHeight="1">
      <c r="A88" s="96" t="s">
        <v>150</v>
      </c>
      <c r="B88" s="96" t="s">
        <v>316</v>
      </c>
      <c r="C88" s="96" t="s">
        <v>57</v>
      </c>
      <c r="D88" s="42" t="s">
        <v>453</v>
      </c>
      <c r="E88" s="39" t="s">
        <v>2</v>
      </c>
      <c r="F88" s="110">
        <f t="shared" si="3"/>
        <v>21701000</v>
      </c>
      <c r="G88" s="111">
        <f>20201000+2100000-100000-500000</f>
        <v>21701000</v>
      </c>
      <c r="H88" s="111">
        <f>15155400+1700000</f>
        <v>16855400</v>
      </c>
      <c r="I88" s="111">
        <v>544500</v>
      </c>
      <c r="J88" s="111"/>
      <c r="K88" s="111">
        <f>M88+P88</f>
        <v>0</v>
      </c>
      <c r="L88" s="111"/>
      <c r="M88" s="111"/>
      <c r="N88" s="111"/>
      <c r="O88" s="111"/>
      <c r="P88" s="111"/>
      <c r="Q88" s="111">
        <f>F88+K88</f>
        <v>21701000</v>
      </c>
      <c r="R88" s="70"/>
      <c r="S88" s="70"/>
      <c r="T88" s="69"/>
    </row>
    <row r="89" spans="1:20" s="4" customFormat="1" ht="49.9" customHeight="1">
      <c r="A89" s="96" t="s">
        <v>169</v>
      </c>
      <c r="B89" s="96" t="s">
        <v>256</v>
      </c>
      <c r="C89" s="96" t="s">
        <v>68</v>
      </c>
      <c r="D89" s="42" t="s">
        <v>131</v>
      </c>
      <c r="E89" s="39"/>
      <c r="F89" s="110">
        <f t="shared" si="3"/>
        <v>53312</v>
      </c>
      <c r="G89" s="111">
        <f>5000+48312</f>
        <v>53312</v>
      </c>
      <c r="H89" s="111"/>
      <c r="I89" s="111"/>
      <c r="J89" s="111"/>
      <c r="K89" s="110">
        <f t="shared" ref="K89:K97" si="23">M89+P89</f>
        <v>0</v>
      </c>
      <c r="L89" s="110"/>
      <c r="M89" s="111"/>
      <c r="N89" s="111"/>
      <c r="O89" s="111"/>
      <c r="P89" s="111"/>
      <c r="Q89" s="110">
        <f t="shared" si="1"/>
        <v>53312</v>
      </c>
      <c r="R89" s="70"/>
      <c r="S89" s="70"/>
      <c r="T89" s="69"/>
    </row>
    <row r="90" spans="1:20" s="15" customFormat="1" ht="53.45" hidden="1" customHeight="1">
      <c r="A90" s="89" t="s">
        <v>151</v>
      </c>
      <c r="B90" s="96" t="s">
        <v>346</v>
      </c>
      <c r="C90" s="96" t="s">
        <v>74</v>
      </c>
      <c r="D90" s="34" t="s">
        <v>152</v>
      </c>
      <c r="E90" s="39" t="s">
        <v>27</v>
      </c>
      <c r="F90" s="110">
        <f t="shared" si="3"/>
        <v>0</v>
      </c>
      <c r="G90" s="86"/>
      <c r="H90" s="110"/>
      <c r="I90" s="110"/>
      <c r="J90" s="110"/>
      <c r="K90" s="110">
        <f t="shared" si="23"/>
        <v>0</v>
      </c>
      <c r="L90" s="110"/>
      <c r="M90" s="110"/>
      <c r="N90" s="110"/>
      <c r="O90" s="110"/>
      <c r="P90" s="110"/>
      <c r="Q90" s="110">
        <f t="shared" si="1"/>
        <v>0</v>
      </c>
      <c r="R90" s="71"/>
      <c r="S90" s="71"/>
      <c r="T90" s="66"/>
    </row>
    <row r="91" spans="1:20" s="15" customFormat="1" ht="40.700000000000003" hidden="1" customHeight="1">
      <c r="A91" s="89" t="s">
        <v>155</v>
      </c>
      <c r="B91" s="96" t="s">
        <v>347</v>
      </c>
      <c r="C91" s="96" t="s">
        <v>76</v>
      </c>
      <c r="D91" s="34" t="s">
        <v>100</v>
      </c>
      <c r="E91" s="39" t="s">
        <v>21</v>
      </c>
      <c r="F91" s="110">
        <f t="shared" si="3"/>
        <v>0</v>
      </c>
      <c r="G91" s="86"/>
      <c r="H91" s="110"/>
      <c r="I91" s="110"/>
      <c r="J91" s="110"/>
      <c r="K91" s="110">
        <f t="shared" si="23"/>
        <v>0</v>
      </c>
      <c r="L91" s="110"/>
      <c r="M91" s="110"/>
      <c r="N91" s="110"/>
      <c r="O91" s="110"/>
      <c r="P91" s="110"/>
      <c r="Q91" s="110">
        <f>F91+K91</f>
        <v>0</v>
      </c>
      <c r="R91" s="71"/>
      <c r="S91" s="71"/>
      <c r="T91" s="66"/>
    </row>
    <row r="92" spans="1:20" s="15" customFormat="1" ht="64.5" hidden="1" customHeight="1">
      <c r="A92" s="89" t="s">
        <v>153</v>
      </c>
      <c r="B92" s="96" t="s">
        <v>348</v>
      </c>
      <c r="C92" s="96" t="s">
        <v>74</v>
      </c>
      <c r="D92" s="34" t="s">
        <v>154</v>
      </c>
      <c r="E92" s="49" t="s">
        <v>17</v>
      </c>
      <c r="F92" s="110">
        <f t="shared" si="3"/>
        <v>0</v>
      </c>
      <c r="G92" s="86"/>
      <c r="H92" s="110"/>
      <c r="I92" s="110"/>
      <c r="J92" s="110"/>
      <c r="K92" s="110">
        <f t="shared" si="23"/>
        <v>0</v>
      </c>
      <c r="L92" s="110"/>
      <c r="M92" s="110"/>
      <c r="N92" s="110"/>
      <c r="O92" s="110"/>
      <c r="P92" s="110"/>
      <c r="Q92" s="110">
        <f t="shared" ref="Q92" si="24">F92+K92</f>
        <v>0</v>
      </c>
      <c r="R92" s="71"/>
      <c r="S92" s="71"/>
      <c r="T92" s="66"/>
    </row>
    <row r="93" spans="1:20" s="15" customFormat="1" ht="57.2" hidden="1" customHeight="1">
      <c r="A93" s="89" t="s">
        <v>156</v>
      </c>
      <c r="B93" s="96" t="s">
        <v>349</v>
      </c>
      <c r="C93" s="96" t="s">
        <v>76</v>
      </c>
      <c r="D93" s="34" t="s">
        <v>101</v>
      </c>
      <c r="E93" s="39" t="s">
        <v>41</v>
      </c>
      <c r="F93" s="110">
        <f t="shared" si="3"/>
        <v>0</v>
      </c>
      <c r="G93" s="86"/>
      <c r="H93" s="110"/>
      <c r="I93" s="110"/>
      <c r="J93" s="110"/>
      <c r="K93" s="110">
        <f t="shared" si="23"/>
        <v>0</v>
      </c>
      <c r="L93" s="110"/>
      <c r="M93" s="110"/>
      <c r="N93" s="110"/>
      <c r="O93" s="110"/>
      <c r="P93" s="110"/>
      <c r="Q93" s="110">
        <f>F93+K93</f>
        <v>0</v>
      </c>
      <c r="R93" s="71"/>
      <c r="S93" s="71"/>
      <c r="T93" s="66"/>
    </row>
    <row r="94" spans="1:20" s="15" customFormat="1" ht="33" hidden="1" customHeight="1">
      <c r="A94" s="96" t="s">
        <v>198</v>
      </c>
      <c r="B94" s="96" t="s">
        <v>350</v>
      </c>
      <c r="C94" s="96" t="s">
        <v>74</v>
      </c>
      <c r="D94" s="44" t="s">
        <v>203</v>
      </c>
      <c r="E94" s="39"/>
      <c r="F94" s="110">
        <f t="shared" ref="F94:F113" si="25">G94+J94</f>
        <v>0</v>
      </c>
      <c r="G94" s="110"/>
      <c r="H94" s="110"/>
      <c r="I94" s="110"/>
      <c r="J94" s="110"/>
      <c r="K94" s="110">
        <f t="shared" si="23"/>
        <v>0</v>
      </c>
      <c r="L94" s="110"/>
      <c r="M94" s="110"/>
      <c r="N94" s="110"/>
      <c r="O94" s="110"/>
      <c r="P94" s="110"/>
      <c r="Q94" s="110">
        <f>F94+K94</f>
        <v>0</v>
      </c>
      <c r="R94" s="71"/>
      <c r="S94" s="71"/>
      <c r="T94" s="66"/>
    </row>
    <row r="95" spans="1:20" s="15" customFormat="1" ht="49.15" customHeight="1">
      <c r="A95" s="96" t="s">
        <v>199</v>
      </c>
      <c r="B95" s="96" t="s">
        <v>351</v>
      </c>
      <c r="C95" s="96" t="s">
        <v>75</v>
      </c>
      <c r="D95" s="44" t="s">
        <v>273</v>
      </c>
      <c r="E95" s="39"/>
      <c r="F95" s="110">
        <f t="shared" si="25"/>
        <v>150000</v>
      </c>
      <c r="G95" s="110">
        <v>150000</v>
      </c>
      <c r="H95" s="110"/>
      <c r="I95" s="110"/>
      <c r="J95" s="110"/>
      <c r="K95" s="110">
        <f t="shared" si="23"/>
        <v>0</v>
      </c>
      <c r="L95" s="110"/>
      <c r="M95" s="110"/>
      <c r="N95" s="110"/>
      <c r="O95" s="110"/>
      <c r="P95" s="110"/>
      <c r="Q95" s="110">
        <f>F95+K95</f>
        <v>150000</v>
      </c>
      <c r="R95" s="71"/>
      <c r="S95" s="71"/>
      <c r="T95" s="66"/>
    </row>
    <row r="96" spans="1:20" s="15" customFormat="1" ht="73.900000000000006" customHeight="1">
      <c r="A96" s="96" t="s">
        <v>200</v>
      </c>
      <c r="B96" s="96" t="s">
        <v>352</v>
      </c>
      <c r="C96" s="96" t="s">
        <v>75</v>
      </c>
      <c r="D96" s="44" t="s">
        <v>202</v>
      </c>
      <c r="E96" s="39"/>
      <c r="F96" s="110">
        <f t="shared" si="25"/>
        <v>3600000</v>
      </c>
      <c r="G96" s="110">
        <f>2000000+1000000+600000</f>
        <v>3600000</v>
      </c>
      <c r="H96" s="110"/>
      <c r="I96" s="110"/>
      <c r="J96" s="110"/>
      <c r="K96" s="110">
        <f t="shared" si="23"/>
        <v>0</v>
      </c>
      <c r="L96" s="110"/>
      <c r="M96" s="110"/>
      <c r="N96" s="110"/>
      <c r="O96" s="110"/>
      <c r="P96" s="110"/>
      <c r="Q96" s="110">
        <f>F96+K96</f>
        <v>3600000</v>
      </c>
      <c r="R96" s="71"/>
      <c r="S96" s="71"/>
      <c r="T96" s="66"/>
    </row>
    <row r="97" spans="1:20" s="15" customFormat="1" ht="84.2" customHeight="1">
      <c r="A97" s="96" t="s">
        <v>201</v>
      </c>
      <c r="B97" s="96" t="s">
        <v>353</v>
      </c>
      <c r="C97" s="96" t="s">
        <v>75</v>
      </c>
      <c r="D97" s="44" t="s">
        <v>500</v>
      </c>
      <c r="E97" s="39"/>
      <c r="F97" s="110">
        <f t="shared" si="25"/>
        <v>4500000</v>
      </c>
      <c r="G97" s="110">
        <v>4500000</v>
      </c>
      <c r="H97" s="110"/>
      <c r="I97" s="110"/>
      <c r="J97" s="110"/>
      <c r="K97" s="110">
        <f t="shared" si="23"/>
        <v>0</v>
      </c>
      <c r="L97" s="110"/>
      <c r="M97" s="110"/>
      <c r="N97" s="110"/>
      <c r="O97" s="110"/>
      <c r="P97" s="110"/>
      <c r="Q97" s="110">
        <f>F97+K97</f>
        <v>4500000</v>
      </c>
      <c r="R97" s="71"/>
      <c r="S97" s="71"/>
      <c r="T97" s="66"/>
    </row>
    <row r="98" spans="1:20" s="15" customFormat="1" ht="40.700000000000003" hidden="1" customHeight="1">
      <c r="A98" s="101" t="s">
        <v>428</v>
      </c>
      <c r="B98" s="96"/>
      <c r="C98" s="102"/>
      <c r="D98" s="40" t="s">
        <v>35</v>
      </c>
      <c r="E98" s="39" t="s">
        <v>35</v>
      </c>
      <c r="F98" s="110">
        <f t="shared" si="25"/>
        <v>0</v>
      </c>
      <c r="G98" s="110"/>
      <c r="H98" s="110"/>
      <c r="I98" s="110"/>
      <c r="J98" s="110">
        <f t="shared" ref="J98:P98" si="26">J99+J100+J101+J102+J103+J104+J105</f>
        <v>0</v>
      </c>
      <c r="K98" s="110">
        <f t="shared" si="26"/>
        <v>0</v>
      </c>
      <c r="L98" s="110">
        <f t="shared" si="26"/>
        <v>0</v>
      </c>
      <c r="M98" s="110">
        <f t="shared" si="26"/>
        <v>0</v>
      </c>
      <c r="N98" s="110">
        <f t="shared" si="26"/>
        <v>0</v>
      </c>
      <c r="O98" s="110">
        <f t="shared" si="26"/>
        <v>0</v>
      </c>
      <c r="P98" s="110">
        <f t="shared" si="26"/>
        <v>0</v>
      </c>
      <c r="Q98" s="110">
        <f t="shared" ref="Q98:Q123" si="27">F98+K98</f>
        <v>0</v>
      </c>
      <c r="R98" s="71"/>
      <c r="S98" s="71"/>
      <c r="T98" s="66"/>
    </row>
    <row r="99" spans="1:20" s="15" customFormat="1" ht="40.700000000000003" hidden="1" customHeight="1">
      <c r="A99" s="96" t="s">
        <v>159</v>
      </c>
      <c r="B99" s="96" t="s">
        <v>354</v>
      </c>
      <c r="C99" s="96" t="s">
        <v>63</v>
      </c>
      <c r="D99" s="34" t="s">
        <v>93</v>
      </c>
      <c r="E99" s="39" t="s">
        <v>40</v>
      </c>
      <c r="F99" s="110">
        <f t="shared" si="25"/>
        <v>0</v>
      </c>
      <c r="G99" s="110"/>
      <c r="H99" s="110"/>
      <c r="I99" s="110"/>
      <c r="J99" s="110"/>
      <c r="K99" s="110">
        <f t="shared" ref="K99:K123" si="28">M99+P99</f>
        <v>0</v>
      </c>
      <c r="L99" s="110"/>
      <c r="M99" s="110"/>
      <c r="N99" s="110"/>
      <c r="O99" s="110"/>
      <c r="P99" s="110"/>
      <c r="Q99" s="110">
        <f t="shared" si="27"/>
        <v>0</v>
      </c>
      <c r="R99" s="71"/>
      <c r="S99" s="71"/>
      <c r="T99" s="66"/>
    </row>
    <row r="100" spans="1:20" s="15" customFormat="1" ht="40.700000000000003" hidden="1" customHeight="1">
      <c r="A100" s="96" t="s">
        <v>158</v>
      </c>
      <c r="B100" s="96" t="s">
        <v>355</v>
      </c>
      <c r="C100" s="96" t="s">
        <v>63</v>
      </c>
      <c r="D100" s="34" t="s">
        <v>98</v>
      </c>
      <c r="E100" s="39" t="s">
        <v>28</v>
      </c>
      <c r="F100" s="110">
        <f t="shared" si="25"/>
        <v>0</v>
      </c>
      <c r="G100" s="110"/>
      <c r="H100" s="110"/>
      <c r="I100" s="110"/>
      <c r="J100" s="110"/>
      <c r="K100" s="110">
        <f t="shared" si="28"/>
        <v>0</v>
      </c>
      <c r="L100" s="110"/>
      <c r="M100" s="110"/>
      <c r="N100" s="110"/>
      <c r="O100" s="110"/>
      <c r="P100" s="110"/>
      <c r="Q100" s="110">
        <f t="shared" si="27"/>
        <v>0</v>
      </c>
      <c r="R100" s="71"/>
      <c r="S100" s="71"/>
      <c r="T100" s="66"/>
    </row>
    <row r="101" spans="1:20" s="15" customFormat="1" ht="40.700000000000003" hidden="1" customHeight="1">
      <c r="A101" s="96" t="s">
        <v>160</v>
      </c>
      <c r="B101" s="96" t="s">
        <v>356</v>
      </c>
      <c r="C101" s="96" t="s">
        <v>63</v>
      </c>
      <c r="D101" s="34" t="s">
        <v>94</v>
      </c>
      <c r="E101" s="39" t="s">
        <v>24</v>
      </c>
      <c r="F101" s="110">
        <f t="shared" si="25"/>
        <v>0</v>
      </c>
      <c r="G101" s="110"/>
      <c r="H101" s="110"/>
      <c r="I101" s="110"/>
      <c r="J101" s="110"/>
      <c r="K101" s="110">
        <f t="shared" si="28"/>
        <v>0</v>
      </c>
      <c r="L101" s="110"/>
      <c r="M101" s="110"/>
      <c r="N101" s="110"/>
      <c r="O101" s="110"/>
      <c r="P101" s="110"/>
      <c r="Q101" s="110">
        <f t="shared" si="27"/>
        <v>0</v>
      </c>
      <c r="R101" s="71"/>
      <c r="S101" s="71"/>
      <c r="T101" s="66"/>
    </row>
    <row r="102" spans="1:20" s="15" customFormat="1" ht="40.700000000000003" hidden="1" customHeight="1">
      <c r="A102" s="96" t="s">
        <v>161</v>
      </c>
      <c r="B102" s="96" t="s">
        <v>357</v>
      </c>
      <c r="C102" s="96" t="s">
        <v>63</v>
      </c>
      <c r="D102" s="34" t="s">
        <v>95</v>
      </c>
      <c r="E102" s="39" t="s">
        <v>22</v>
      </c>
      <c r="F102" s="110">
        <f t="shared" si="25"/>
        <v>0</v>
      </c>
      <c r="G102" s="110"/>
      <c r="H102" s="110"/>
      <c r="I102" s="110"/>
      <c r="J102" s="110"/>
      <c r="K102" s="110">
        <f t="shared" si="28"/>
        <v>0</v>
      </c>
      <c r="L102" s="110"/>
      <c r="M102" s="110"/>
      <c r="N102" s="110"/>
      <c r="O102" s="110"/>
      <c r="P102" s="110"/>
      <c r="Q102" s="110">
        <f t="shared" si="27"/>
        <v>0</v>
      </c>
      <c r="R102" s="71"/>
      <c r="S102" s="71"/>
      <c r="T102" s="66"/>
    </row>
    <row r="103" spans="1:20" s="15" customFormat="1" ht="40.700000000000003" hidden="1" customHeight="1">
      <c r="A103" s="96" t="s">
        <v>162</v>
      </c>
      <c r="B103" s="96" t="s">
        <v>358</v>
      </c>
      <c r="C103" s="96" t="s">
        <v>63</v>
      </c>
      <c r="D103" s="34" t="s">
        <v>96</v>
      </c>
      <c r="E103" s="39" t="s">
        <v>29</v>
      </c>
      <c r="F103" s="110">
        <f t="shared" si="25"/>
        <v>0</v>
      </c>
      <c r="G103" s="110"/>
      <c r="H103" s="110"/>
      <c r="I103" s="110"/>
      <c r="J103" s="110"/>
      <c r="K103" s="110">
        <f t="shared" si="28"/>
        <v>0</v>
      </c>
      <c r="L103" s="110"/>
      <c r="M103" s="110"/>
      <c r="N103" s="110"/>
      <c r="O103" s="110"/>
      <c r="P103" s="110"/>
      <c r="Q103" s="110">
        <f t="shared" si="27"/>
        <v>0</v>
      </c>
      <c r="R103" s="71"/>
      <c r="S103" s="71"/>
      <c r="T103" s="66"/>
    </row>
    <row r="104" spans="1:20" s="15" customFormat="1" ht="40.700000000000003" hidden="1" customHeight="1">
      <c r="A104" s="96" t="s">
        <v>163</v>
      </c>
      <c r="B104" s="96" t="s">
        <v>359</v>
      </c>
      <c r="C104" s="96" t="s">
        <v>63</v>
      </c>
      <c r="D104" s="34" t="s">
        <v>97</v>
      </c>
      <c r="E104" s="39" t="s">
        <v>16</v>
      </c>
      <c r="F104" s="110">
        <f t="shared" si="25"/>
        <v>0</v>
      </c>
      <c r="G104" s="110"/>
      <c r="H104" s="110"/>
      <c r="I104" s="110"/>
      <c r="J104" s="110"/>
      <c r="K104" s="110">
        <f t="shared" si="28"/>
        <v>0</v>
      </c>
      <c r="L104" s="110"/>
      <c r="M104" s="110"/>
      <c r="N104" s="110"/>
      <c r="O104" s="110"/>
      <c r="P104" s="110"/>
      <c r="Q104" s="110">
        <f t="shared" si="27"/>
        <v>0</v>
      </c>
      <c r="R104" s="71"/>
      <c r="S104" s="71"/>
      <c r="T104" s="66"/>
    </row>
    <row r="105" spans="1:20" s="15" customFormat="1" ht="40.700000000000003" hidden="1" customHeight="1">
      <c r="A105" s="96" t="s">
        <v>164</v>
      </c>
      <c r="B105" s="96" t="s">
        <v>360</v>
      </c>
      <c r="C105" s="96" t="s">
        <v>63</v>
      </c>
      <c r="D105" s="34" t="s">
        <v>99</v>
      </c>
      <c r="E105" s="39" t="s">
        <v>23</v>
      </c>
      <c r="F105" s="110">
        <f t="shared" si="25"/>
        <v>0</v>
      </c>
      <c r="G105" s="110"/>
      <c r="H105" s="110"/>
      <c r="I105" s="110"/>
      <c r="J105" s="110"/>
      <c r="K105" s="110">
        <f t="shared" si="28"/>
        <v>0</v>
      </c>
      <c r="L105" s="110"/>
      <c r="M105" s="110"/>
      <c r="N105" s="110"/>
      <c r="O105" s="110"/>
      <c r="P105" s="110"/>
      <c r="Q105" s="110">
        <f t="shared" si="27"/>
        <v>0</v>
      </c>
      <c r="R105" s="71"/>
      <c r="S105" s="71"/>
      <c r="T105" s="66"/>
    </row>
    <row r="106" spans="1:20" s="15" customFormat="1" ht="40.700000000000003" hidden="1" customHeight="1">
      <c r="A106" s="96" t="s">
        <v>294</v>
      </c>
      <c r="B106" s="96" t="s">
        <v>361</v>
      </c>
      <c r="C106" s="96" t="s">
        <v>63</v>
      </c>
      <c r="D106" s="34" t="s">
        <v>295</v>
      </c>
      <c r="E106" s="39"/>
      <c r="F106" s="110">
        <f t="shared" si="25"/>
        <v>0</v>
      </c>
      <c r="G106" s="110"/>
      <c r="H106" s="110"/>
      <c r="I106" s="110"/>
      <c r="J106" s="110"/>
      <c r="K106" s="110"/>
      <c r="L106" s="110"/>
      <c r="M106" s="110"/>
      <c r="N106" s="110"/>
      <c r="O106" s="110"/>
      <c r="P106" s="110"/>
      <c r="Q106" s="110">
        <f t="shared" si="27"/>
        <v>0</v>
      </c>
      <c r="R106" s="71"/>
      <c r="S106" s="71"/>
      <c r="T106" s="66"/>
    </row>
    <row r="107" spans="1:20" s="15" customFormat="1" ht="83.1" customHeight="1">
      <c r="A107" s="96" t="s">
        <v>157</v>
      </c>
      <c r="B107" s="96" t="s">
        <v>362</v>
      </c>
      <c r="C107" s="96" t="s">
        <v>75</v>
      </c>
      <c r="D107" s="34" t="s">
        <v>92</v>
      </c>
      <c r="E107" s="39" t="s">
        <v>54</v>
      </c>
      <c r="F107" s="110">
        <f t="shared" si="25"/>
        <v>94700</v>
      </c>
      <c r="G107" s="110">
        <v>94700</v>
      </c>
      <c r="H107" s="110"/>
      <c r="I107" s="110"/>
      <c r="J107" s="110"/>
      <c r="K107" s="110">
        <f t="shared" ref="K107:K113" si="29">M107+P107</f>
        <v>0</v>
      </c>
      <c r="L107" s="110"/>
      <c r="M107" s="110"/>
      <c r="N107" s="110"/>
      <c r="O107" s="110"/>
      <c r="P107" s="110"/>
      <c r="Q107" s="110">
        <f t="shared" si="27"/>
        <v>94700</v>
      </c>
      <c r="R107" s="71"/>
      <c r="S107" s="71"/>
      <c r="T107" s="66"/>
    </row>
    <row r="108" spans="1:20" s="15" customFormat="1" ht="194.25" hidden="1" customHeight="1">
      <c r="A108" s="96" t="s">
        <v>165</v>
      </c>
      <c r="B108" s="96" t="s">
        <v>363</v>
      </c>
      <c r="C108" s="101"/>
      <c r="D108" s="34" t="s">
        <v>293</v>
      </c>
      <c r="E108" s="39" t="s">
        <v>49</v>
      </c>
      <c r="F108" s="110">
        <f t="shared" si="25"/>
        <v>0</v>
      </c>
      <c r="G108" s="110"/>
      <c r="H108" s="111"/>
      <c r="I108" s="111"/>
      <c r="J108" s="111"/>
      <c r="K108" s="110">
        <f t="shared" si="29"/>
        <v>0</v>
      </c>
      <c r="L108" s="110"/>
      <c r="M108" s="111"/>
      <c r="N108" s="110"/>
      <c r="O108" s="111"/>
      <c r="P108" s="111"/>
      <c r="Q108" s="110">
        <f t="shared" si="27"/>
        <v>0</v>
      </c>
      <c r="R108" s="71"/>
      <c r="S108" s="71"/>
      <c r="T108" s="66"/>
    </row>
    <row r="109" spans="1:20" s="15" customFormat="1" ht="45.75" hidden="1" customHeight="1">
      <c r="A109" s="96" t="s">
        <v>221</v>
      </c>
      <c r="B109" s="96" t="s">
        <v>364</v>
      </c>
      <c r="C109" s="96" t="s">
        <v>77</v>
      </c>
      <c r="D109" s="34" t="s">
        <v>226</v>
      </c>
      <c r="E109" s="39"/>
      <c r="F109" s="110">
        <f t="shared" si="25"/>
        <v>0</v>
      </c>
      <c r="G109" s="110"/>
      <c r="H109" s="111"/>
      <c r="I109" s="111"/>
      <c r="J109" s="111"/>
      <c r="K109" s="110">
        <f t="shared" si="29"/>
        <v>0</v>
      </c>
      <c r="L109" s="110"/>
      <c r="M109" s="111"/>
      <c r="N109" s="110"/>
      <c r="O109" s="111"/>
      <c r="P109" s="111"/>
      <c r="Q109" s="110">
        <f t="shared" si="27"/>
        <v>0</v>
      </c>
      <c r="R109" s="71"/>
      <c r="S109" s="71"/>
      <c r="T109" s="66"/>
    </row>
    <row r="110" spans="1:20" s="15" customFormat="1" ht="65.45" hidden="1" customHeight="1">
      <c r="A110" s="96" t="s">
        <v>222</v>
      </c>
      <c r="B110" s="96" t="s">
        <v>365</v>
      </c>
      <c r="C110" s="96" t="s">
        <v>77</v>
      </c>
      <c r="D110" s="34" t="s">
        <v>227</v>
      </c>
      <c r="E110" s="39"/>
      <c r="F110" s="110">
        <f t="shared" si="25"/>
        <v>0</v>
      </c>
      <c r="G110" s="110"/>
      <c r="H110" s="111"/>
      <c r="I110" s="111"/>
      <c r="J110" s="111"/>
      <c r="K110" s="110">
        <f t="shared" si="29"/>
        <v>0</v>
      </c>
      <c r="L110" s="110"/>
      <c r="M110" s="111"/>
      <c r="N110" s="110"/>
      <c r="O110" s="111"/>
      <c r="P110" s="111"/>
      <c r="Q110" s="110">
        <f t="shared" si="27"/>
        <v>0</v>
      </c>
      <c r="R110" s="71"/>
      <c r="S110" s="71"/>
      <c r="T110" s="66"/>
    </row>
    <row r="111" spans="1:20" s="15" customFormat="1" ht="45.75" hidden="1" customHeight="1">
      <c r="A111" s="96" t="s">
        <v>223</v>
      </c>
      <c r="B111" s="96" t="s">
        <v>366</v>
      </c>
      <c r="C111" s="96" t="s">
        <v>77</v>
      </c>
      <c r="D111" s="34" t="s">
        <v>228</v>
      </c>
      <c r="E111" s="39"/>
      <c r="F111" s="110">
        <f t="shared" si="25"/>
        <v>0</v>
      </c>
      <c r="G111" s="110"/>
      <c r="H111" s="111"/>
      <c r="I111" s="111"/>
      <c r="J111" s="111"/>
      <c r="K111" s="110">
        <f t="shared" si="29"/>
        <v>0</v>
      </c>
      <c r="L111" s="110"/>
      <c r="M111" s="111"/>
      <c r="N111" s="110"/>
      <c r="O111" s="111"/>
      <c r="P111" s="111"/>
      <c r="Q111" s="110">
        <f t="shared" si="27"/>
        <v>0</v>
      </c>
      <c r="R111" s="71"/>
      <c r="S111" s="71"/>
      <c r="T111" s="66"/>
    </row>
    <row r="112" spans="1:20" s="15" customFormat="1" ht="68.25" hidden="1" customHeight="1">
      <c r="A112" s="96" t="s">
        <v>224</v>
      </c>
      <c r="B112" s="96" t="s">
        <v>367</v>
      </c>
      <c r="C112" s="96" t="s">
        <v>77</v>
      </c>
      <c r="D112" s="34" t="s">
        <v>229</v>
      </c>
      <c r="E112" s="39"/>
      <c r="F112" s="110">
        <f t="shared" si="25"/>
        <v>0</v>
      </c>
      <c r="G112" s="110"/>
      <c r="H112" s="111"/>
      <c r="I112" s="111"/>
      <c r="J112" s="111"/>
      <c r="K112" s="110">
        <f t="shared" si="29"/>
        <v>0</v>
      </c>
      <c r="L112" s="110"/>
      <c r="M112" s="111"/>
      <c r="N112" s="110"/>
      <c r="O112" s="111"/>
      <c r="P112" s="111"/>
      <c r="Q112" s="110">
        <f t="shared" si="27"/>
        <v>0</v>
      </c>
      <c r="R112" s="71"/>
      <c r="S112" s="71"/>
      <c r="T112" s="66"/>
    </row>
    <row r="113" spans="1:20" s="15" customFormat="1" ht="81.2" hidden="1" customHeight="1">
      <c r="A113" s="96" t="s">
        <v>225</v>
      </c>
      <c r="B113" s="96" t="s">
        <v>368</v>
      </c>
      <c r="C113" s="96" t="s">
        <v>77</v>
      </c>
      <c r="D113" s="34" t="s">
        <v>230</v>
      </c>
      <c r="E113" s="39"/>
      <c r="F113" s="110">
        <f t="shared" si="25"/>
        <v>0</v>
      </c>
      <c r="G113" s="110"/>
      <c r="H113" s="111"/>
      <c r="I113" s="111"/>
      <c r="J113" s="111"/>
      <c r="K113" s="110">
        <f t="shared" si="29"/>
        <v>0</v>
      </c>
      <c r="L113" s="110"/>
      <c r="M113" s="111"/>
      <c r="N113" s="110"/>
      <c r="O113" s="111"/>
      <c r="P113" s="111"/>
      <c r="Q113" s="110">
        <f t="shared" si="27"/>
        <v>0</v>
      </c>
      <c r="R113" s="71"/>
      <c r="S113" s="71"/>
      <c r="T113" s="66"/>
    </row>
    <row r="114" spans="1:20" s="15" customFormat="1" ht="46.15" customHeight="1">
      <c r="A114" s="96" t="s">
        <v>166</v>
      </c>
      <c r="B114" s="96" t="s">
        <v>369</v>
      </c>
      <c r="C114" s="96" t="s">
        <v>74</v>
      </c>
      <c r="D114" s="34" t="s">
        <v>211</v>
      </c>
      <c r="E114" s="39" t="s">
        <v>30</v>
      </c>
      <c r="F114" s="110">
        <f>G114+J114</f>
        <v>0</v>
      </c>
      <c r="G114" s="110"/>
      <c r="H114" s="110"/>
      <c r="I114" s="110"/>
      <c r="J114" s="110"/>
      <c r="K114" s="110">
        <f t="shared" si="28"/>
        <v>0</v>
      </c>
      <c r="L114" s="110"/>
      <c r="M114" s="110"/>
      <c r="N114" s="110"/>
      <c r="O114" s="110"/>
      <c r="P114" s="110"/>
      <c r="Q114" s="110">
        <f t="shared" si="27"/>
        <v>0</v>
      </c>
      <c r="R114" s="71"/>
      <c r="S114" s="71"/>
      <c r="T114" s="66"/>
    </row>
    <row r="115" spans="1:20" s="4" customFormat="1" ht="115.15" customHeight="1">
      <c r="A115" s="96" t="s">
        <v>167</v>
      </c>
      <c r="B115" s="96" t="s">
        <v>370</v>
      </c>
      <c r="C115" s="96" t="s">
        <v>78</v>
      </c>
      <c r="D115" s="34" t="s">
        <v>102</v>
      </c>
      <c r="E115" s="39" t="s">
        <v>53</v>
      </c>
      <c r="F115" s="110">
        <f t="shared" ref="F115:F120" si="30">G115+J115</f>
        <v>15385000</v>
      </c>
      <c r="G115" s="110">
        <f>12540000+30000+2700000+475000+115000-475000</f>
        <v>15385000</v>
      </c>
      <c r="H115" s="111">
        <f>8550000+2200000</f>
        <v>10750000</v>
      </c>
      <c r="I115" s="111">
        <v>1075900</v>
      </c>
      <c r="J115" s="111"/>
      <c r="K115" s="110">
        <f t="shared" si="28"/>
        <v>1424000</v>
      </c>
      <c r="L115" s="110">
        <f>700000+475000</f>
        <v>1175000</v>
      </c>
      <c r="M115" s="111">
        <v>249000</v>
      </c>
      <c r="N115" s="110">
        <v>181000</v>
      </c>
      <c r="O115" s="111"/>
      <c r="P115" s="111">
        <f>L115</f>
        <v>1175000</v>
      </c>
      <c r="Q115" s="110">
        <f t="shared" si="27"/>
        <v>16809000</v>
      </c>
      <c r="R115" s="70"/>
      <c r="S115" s="70"/>
      <c r="T115" s="69"/>
    </row>
    <row r="116" spans="1:20" s="4" customFormat="1" ht="115.15" customHeight="1">
      <c r="A116" s="98" t="s">
        <v>523</v>
      </c>
      <c r="B116" s="98" t="s">
        <v>431</v>
      </c>
      <c r="C116" s="98" t="s">
        <v>63</v>
      </c>
      <c r="D116" s="34" t="s">
        <v>499</v>
      </c>
      <c r="E116" s="3" t="s">
        <v>34</v>
      </c>
      <c r="F116" s="110">
        <f>G116+J116</f>
        <v>4700000</v>
      </c>
      <c r="G116" s="110">
        <f>3765000+700000+45000+190000</f>
        <v>4700000</v>
      </c>
      <c r="H116" s="111">
        <f>2822700+574000</f>
        <v>3396700</v>
      </c>
      <c r="I116" s="111">
        <f>239600+100</f>
        <v>239700</v>
      </c>
      <c r="J116" s="111"/>
      <c r="K116" s="110">
        <f>M116+P116</f>
        <v>0</v>
      </c>
      <c r="L116" s="110"/>
      <c r="M116" s="110"/>
      <c r="N116" s="110"/>
      <c r="O116" s="111"/>
      <c r="P116" s="111">
        <f>L116</f>
        <v>0</v>
      </c>
      <c r="Q116" s="110">
        <f>F116+K116</f>
        <v>4700000</v>
      </c>
      <c r="R116" s="70"/>
      <c r="S116" s="70"/>
      <c r="T116" s="69"/>
    </row>
    <row r="117" spans="1:20" s="4" customFormat="1" ht="157.9" customHeight="1">
      <c r="A117" s="96" t="s">
        <v>239</v>
      </c>
      <c r="B117" s="96" t="s">
        <v>371</v>
      </c>
      <c r="C117" s="96" t="s">
        <v>77</v>
      </c>
      <c r="D117" s="50" t="s">
        <v>240</v>
      </c>
      <c r="E117" s="45"/>
      <c r="F117" s="110">
        <f t="shared" si="30"/>
        <v>2535000</v>
      </c>
      <c r="G117" s="110">
        <f>3900000-250000-515000-600000</f>
        <v>2535000</v>
      </c>
      <c r="H117" s="111"/>
      <c r="I117" s="111"/>
      <c r="J117" s="111"/>
      <c r="K117" s="110">
        <f t="shared" si="28"/>
        <v>0</v>
      </c>
      <c r="L117" s="110"/>
      <c r="M117" s="111"/>
      <c r="N117" s="110"/>
      <c r="O117" s="111"/>
      <c r="P117" s="111"/>
      <c r="Q117" s="110">
        <f t="shared" si="27"/>
        <v>2535000</v>
      </c>
      <c r="R117" s="70"/>
      <c r="S117" s="70"/>
      <c r="T117" s="69"/>
    </row>
    <row r="118" spans="1:20" s="4" customFormat="1" ht="152.1" customHeight="1">
      <c r="A118" s="96" t="s">
        <v>212</v>
      </c>
      <c r="B118" s="96" t="s">
        <v>372</v>
      </c>
      <c r="C118" s="96" t="s">
        <v>76</v>
      </c>
      <c r="D118" s="34" t="s">
        <v>213</v>
      </c>
      <c r="E118" s="39" t="s">
        <v>3</v>
      </c>
      <c r="F118" s="110">
        <f t="shared" si="30"/>
        <v>1315000</v>
      </c>
      <c r="G118" s="110">
        <f>800000+515000</f>
        <v>1315000</v>
      </c>
      <c r="H118" s="111"/>
      <c r="I118" s="111"/>
      <c r="J118" s="111"/>
      <c r="K118" s="110">
        <f t="shared" si="28"/>
        <v>0</v>
      </c>
      <c r="L118" s="110"/>
      <c r="M118" s="111"/>
      <c r="N118" s="110"/>
      <c r="O118" s="111"/>
      <c r="P118" s="111"/>
      <c r="Q118" s="110">
        <f t="shared" si="27"/>
        <v>1315000</v>
      </c>
      <c r="R118" s="70"/>
      <c r="S118" s="70"/>
      <c r="T118" s="69"/>
    </row>
    <row r="119" spans="1:20" s="4" customFormat="1" ht="110.45" customHeight="1">
      <c r="A119" s="96" t="s">
        <v>214</v>
      </c>
      <c r="B119" s="96" t="s">
        <v>373</v>
      </c>
      <c r="C119" s="96" t="s">
        <v>74</v>
      </c>
      <c r="D119" s="34" t="s">
        <v>501</v>
      </c>
      <c r="E119" s="39" t="s">
        <v>50</v>
      </c>
      <c r="F119" s="110">
        <f t="shared" si="30"/>
        <v>144090</v>
      </c>
      <c r="G119" s="110">
        <f>120000+5000+8456+10634</f>
        <v>144090</v>
      </c>
      <c r="H119" s="111"/>
      <c r="I119" s="111"/>
      <c r="J119" s="111"/>
      <c r="K119" s="110">
        <f t="shared" si="28"/>
        <v>0</v>
      </c>
      <c r="L119" s="110"/>
      <c r="M119" s="111"/>
      <c r="N119" s="110"/>
      <c r="O119" s="111"/>
      <c r="P119" s="111"/>
      <c r="Q119" s="110">
        <f t="shared" si="27"/>
        <v>144090</v>
      </c>
      <c r="R119" s="70"/>
      <c r="S119" s="70"/>
      <c r="T119" s="69"/>
    </row>
    <row r="120" spans="1:20" s="4" customFormat="1" ht="73.349999999999994" customHeight="1">
      <c r="A120" s="96" t="s">
        <v>280</v>
      </c>
      <c r="B120" s="96" t="s">
        <v>374</v>
      </c>
      <c r="C120" s="96" t="s">
        <v>279</v>
      </c>
      <c r="D120" s="34" t="s">
        <v>278</v>
      </c>
      <c r="E120" s="39"/>
      <c r="F120" s="110">
        <f t="shared" si="30"/>
        <v>8719</v>
      </c>
      <c r="G120" s="110">
        <f>8719</f>
        <v>8719</v>
      </c>
      <c r="H120" s="111">
        <v>7100</v>
      </c>
      <c r="I120" s="111"/>
      <c r="J120" s="111"/>
      <c r="K120" s="110">
        <f t="shared" si="28"/>
        <v>0</v>
      </c>
      <c r="L120" s="110"/>
      <c r="M120" s="111"/>
      <c r="N120" s="110"/>
      <c r="O120" s="111"/>
      <c r="P120" s="111"/>
      <c r="Q120" s="110">
        <f t="shared" si="27"/>
        <v>8719</v>
      </c>
      <c r="R120" s="70"/>
      <c r="S120" s="70"/>
      <c r="T120" s="69"/>
    </row>
    <row r="121" spans="1:20" s="4" customFormat="1" ht="70.349999999999994" customHeight="1">
      <c r="A121" s="96" t="s">
        <v>232</v>
      </c>
      <c r="B121" s="96" t="s">
        <v>331</v>
      </c>
      <c r="C121" s="96" t="s">
        <v>62</v>
      </c>
      <c r="D121" s="44" t="s">
        <v>209</v>
      </c>
      <c r="E121" s="47"/>
      <c r="F121" s="110">
        <f>G121+J121</f>
        <v>494381</v>
      </c>
      <c r="G121" s="113">
        <f>120000+100000+250000+24381</f>
        <v>494381</v>
      </c>
      <c r="H121" s="114"/>
      <c r="I121" s="114"/>
      <c r="J121" s="114"/>
      <c r="K121" s="110"/>
      <c r="L121" s="113"/>
      <c r="M121" s="114"/>
      <c r="N121" s="113"/>
      <c r="O121" s="114"/>
      <c r="P121" s="114"/>
      <c r="Q121" s="110">
        <f t="shared" si="27"/>
        <v>494381</v>
      </c>
      <c r="R121" s="70"/>
      <c r="S121" s="70"/>
      <c r="T121" s="69"/>
    </row>
    <row r="122" spans="1:20" s="4" customFormat="1" ht="80.099999999999994" customHeight="1">
      <c r="A122" s="96" t="s">
        <v>417</v>
      </c>
      <c r="B122" s="96" t="s">
        <v>409</v>
      </c>
      <c r="C122" s="96" t="s">
        <v>410</v>
      </c>
      <c r="D122" s="34" t="s">
        <v>411</v>
      </c>
      <c r="E122" s="47"/>
      <c r="F122" s="110">
        <f>G122+J122</f>
        <v>91000</v>
      </c>
      <c r="G122" s="113">
        <f>91000</f>
        <v>91000</v>
      </c>
      <c r="H122" s="114"/>
      <c r="I122" s="114"/>
      <c r="J122" s="114"/>
      <c r="K122" s="110">
        <f t="shared" si="28"/>
        <v>49000</v>
      </c>
      <c r="L122" s="113">
        <f>49000</f>
        <v>49000</v>
      </c>
      <c r="M122" s="113"/>
      <c r="N122" s="113"/>
      <c r="O122" s="114"/>
      <c r="P122" s="114">
        <f>L122</f>
        <v>49000</v>
      </c>
      <c r="Q122" s="110">
        <f>F122+K122</f>
        <v>140000</v>
      </c>
      <c r="R122" s="70"/>
      <c r="S122" s="70"/>
      <c r="T122" s="69"/>
    </row>
    <row r="123" spans="1:20" s="4" customFormat="1" ht="30.2" hidden="1" customHeight="1">
      <c r="A123" s="96" t="s">
        <v>292</v>
      </c>
      <c r="B123" s="96" t="s">
        <v>336</v>
      </c>
      <c r="C123" s="96" t="s">
        <v>82</v>
      </c>
      <c r="D123" s="44" t="s">
        <v>133</v>
      </c>
      <c r="E123" s="3"/>
      <c r="F123" s="110">
        <f>G123</f>
        <v>0</v>
      </c>
      <c r="G123" s="110"/>
      <c r="H123" s="111"/>
      <c r="I123" s="111"/>
      <c r="J123" s="111"/>
      <c r="K123" s="110">
        <f t="shared" si="28"/>
        <v>0</v>
      </c>
      <c r="L123" s="110"/>
      <c r="M123" s="111"/>
      <c r="N123" s="110"/>
      <c r="O123" s="111"/>
      <c r="P123" s="111"/>
      <c r="Q123" s="110">
        <f t="shared" si="27"/>
        <v>0</v>
      </c>
      <c r="R123" s="70"/>
      <c r="S123" s="70"/>
      <c r="T123" s="69"/>
    </row>
    <row r="124" spans="1:20" s="30" customFormat="1" ht="72.75" customHeight="1">
      <c r="A124" s="83" t="s">
        <v>83</v>
      </c>
      <c r="B124" s="83" t="s">
        <v>83</v>
      </c>
      <c r="C124" s="89"/>
      <c r="D124" s="133" t="s">
        <v>33</v>
      </c>
      <c r="E124" s="87" t="s">
        <v>33</v>
      </c>
      <c r="F124" s="86">
        <f>F125</f>
        <v>40854050</v>
      </c>
      <c r="G124" s="86">
        <f t="shared" ref="G124:P124" si="31">G125</f>
        <v>40854050</v>
      </c>
      <c r="H124" s="86">
        <f t="shared" si="31"/>
        <v>29428000</v>
      </c>
      <c r="I124" s="86">
        <f t="shared" si="31"/>
        <v>3918800</v>
      </c>
      <c r="J124" s="86">
        <f t="shared" si="31"/>
        <v>0</v>
      </c>
      <c r="K124" s="86">
        <f t="shared" si="31"/>
        <v>923800</v>
      </c>
      <c r="L124" s="86">
        <f t="shared" si="31"/>
        <v>176800</v>
      </c>
      <c r="M124" s="86">
        <f t="shared" si="31"/>
        <v>747000</v>
      </c>
      <c r="N124" s="86">
        <f t="shared" si="31"/>
        <v>173200</v>
      </c>
      <c r="O124" s="86">
        <f t="shared" si="31"/>
        <v>0</v>
      </c>
      <c r="P124" s="86">
        <f t="shared" si="31"/>
        <v>176800</v>
      </c>
      <c r="Q124" s="86">
        <f>Q125</f>
        <v>41777850</v>
      </c>
      <c r="R124" s="67"/>
      <c r="S124" s="71"/>
      <c r="T124" s="66"/>
    </row>
    <row r="125" spans="1:20" s="30" customFormat="1" ht="62.45" customHeight="1">
      <c r="A125" s="101" t="s">
        <v>136</v>
      </c>
      <c r="B125" s="101" t="s">
        <v>375</v>
      </c>
      <c r="C125" s="96"/>
      <c r="D125" s="40" t="str">
        <f>D124</f>
        <v>Управління культури і туризму міської ради</v>
      </c>
      <c r="E125" s="37"/>
      <c r="F125" s="110">
        <f>SUM(F126:F136)</f>
        <v>40854050</v>
      </c>
      <c r="G125" s="110">
        <f>SUM(G126:G136)</f>
        <v>40854050</v>
      </c>
      <c r="H125" s="110">
        <f t="shared" ref="H125:J125" si="32">SUM(H126:H136)</f>
        <v>29428000</v>
      </c>
      <c r="I125" s="110">
        <f t="shared" si="32"/>
        <v>3918800</v>
      </c>
      <c r="J125" s="110">
        <f t="shared" si="32"/>
        <v>0</v>
      </c>
      <c r="K125" s="110">
        <f>SUM(K126:K136)</f>
        <v>923800</v>
      </c>
      <c r="L125" s="110">
        <f t="shared" ref="L125:P125" si="33">SUM(L126:L136)</f>
        <v>176800</v>
      </c>
      <c r="M125" s="110">
        <f t="shared" si="33"/>
        <v>747000</v>
      </c>
      <c r="N125" s="110">
        <f t="shared" si="33"/>
        <v>173200</v>
      </c>
      <c r="O125" s="110">
        <f t="shared" si="33"/>
        <v>0</v>
      </c>
      <c r="P125" s="110">
        <f t="shared" si="33"/>
        <v>176800</v>
      </c>
      <c r="Q125" s="110">
        <f t="shared" ref="Q125:Q190" si="34">F125+K125</f>
        <v>41777850</v>
      </c>
      <c r="R125" s="71"/>
      <c r="S125" s="71"/>
      <c r="T125" s="66"/>
    </row>
    <row r="126" spans="1:20" s="15" customFormat="1" ht="85.7" customHeight="1">
      <c r="A126" s="96" t="s">
        <v>170</v>
      </c>
      <c r="B126" s="96" t="s">
        <v>316</v>
      </c>
      <c r="C126" s="96" t="s">
        <v>57</v>
      </c>
      <c r="D126" s="42" t="s">
        <v>502</v>
      </c>
      <c r="E126" s="39" t="s">
        <v>2</v>
      </c>
      <c r="F126" s="110">
        <f t="shared" ref="F126:F136" si="35">G126+J126</f>
        <v>2192000</v>
      </c>
      <c r="G126" s="110">
        <f>1942000+250000</f>
        <v>2192000</v>
      </c>
      <c r="H126" s="111">
        <f>1538000+205000</f>
        <v>1743000</v>
      </c>
      <c r="I126" s="111">
        <v>42900</v>
      </c>
      <c r="J126" s="111"/>
      <c r="K126" s="110">
        <f t="shared" ref="K126:K136" si="36">M126+P126</f>
        <v>10000</v>
      </c>
      <c r="L126" s="110"/>
      <c r="M126" s="111">
        <v>10000</v>
      </c>
      <c r="N126" s="110"/>
      <c r="O126" s="111"/>
      <c r="P126" s="111">
        <f>L126</f>
        <v>0</v>
      </c>
      <c r="Q126" s="110">
        <f t="shared" si="34"/>
        <v>2202000</v>
      </c>
      <c r="R126" s="71"/>
      <c r="S126" s="71"/>
      <c r="T126" s="66"/>
    </row>
    <row r="127" spans="1:20" s="15" customFormat="1" ht="54.75" customHeight="1">
      <c r="A127" s="96" t="s">
        <v>233</v>
      </c>
      <c r="B127" s="96" t="s">
        <v>256</v>
      </c>
      <c r="C127" s="96" t="s">
        <v>68</v>
      </c>
      <c r="D127" s="42" t="s">
        <v>131</v>
      </c>
      <c r="E127" s="39"/>
      <c r="F127" s="110">
        <f t="shared" si="35"/>
        <v>5000</v>
      </c>
      <c r="G127" s="110">
        <f>5000</f>
        <v>5000</v>
      </c>
      <c r="H127" s="111"/>
      <c r="I127" s="111"/>
      <c r="J127" s="111"/>
      <c r="K127" s="110">
        <f t="shared" si="36"/>
        <v>0</v>
      </c>
      <c r="L127" s="110"/>
      <c r="M127" s="111"/>
      <c r="N127" s="110"/>
      <c r="O127" s="111"/>
      <c r="P127" s="111"/>
      <c r="Q127" s="110">
        <f t="shared" si="34"/>
        <v>5000</v>
      </c>
      <c r="R127" s="71"/>
      <c r="S127" s="71"/>
      <c r="T127" s="66"/>
    </row>
    <row r="128" spans="1:20" s="15" customFormat="1" ht="56.45" customHeight="1">
      <c r="A128" s="96" t="s">
        <v>468</v>
      </c>
      <c r="B128" s="96" t="s">
        <v>469</v>
      </c>
      <c r="C128" s="100" t="s">
        <v>71</v>
      </c>
      <c r="D128" s="59" t="s">
        <v>514</v>
      </c>
      <c r="E128" s="48"/>
      <c r="F128" s="117">
        <f>G128+J128</f>
        <v>22477100</v>
      </c>
      <c r="G128" s="110">
        <f>20409100+2070000-67000+30000+35000</f>
        <v>22477100</v>
      </c>
      <c r="H128" s="111">
        <f>15153500+1700000</f>
        <v>16853500</v>
      </c>
      <c r="I128" s="111">
        <f>1904400-67000</f>
        <v>1837400</v>
      </c>
      <c r="J128" s="111"/>
      <c r="K128" s="110">
        <f>M128+P128</f>
        <v>676900</v>
      </c>
      <c r="L128" s="110">
        <f>76900</f>
        <v>76900</v>
      </c>
      <c r="M128" s="111">
        <v>600000</v>
      </c>
      <c r="N128" s="110">
        <v>150100</v>
      </c>
      <c r="O128" s="111"/>
      <c r="P128" s="111">
        <f>L128</f>
        <v>76900</v>
      </c>
      <c r="Q128" s="110">
        <f>F128+K128</f>
        <v>23154000</v>
      </c>
      <c r="R128" s="71"/>
      <c r="S128" s="71"/>
      <c r="T128" s="66"/>
    </row>
    <row r="129" spans="1:20" s="15" customFormat="1" ht="37.35" customHeight="1">
      <c r="A129" s="96" t="s">
        <v>171</v>
      </c>
      <c r="B129" s="96" t="s">
        <v>376</v>
      </c>
      <c r="C129" s="96" t="s">
        <v>103</v>
      </c>
      <c r="D129" s="34" t="s">
        <v>172</v>
      </c>
      <c r="E129" s="39" t="s">
        <v>9</v>
      </c>
      <c r="F129" s="110">
        <f t="shared" si="35"/>
        <v>5833800</v>
      </c>
      <c r="G129" s="110">
        <f>5124800+500000+183000+26000</f>
        <v>5833800</v>
      </c>
      <c r="H129" s="111">
        <f>3534000+410000</f>
        <v>3944000</v>
      </c>
      <c r="I129" s="111">
        <v>793900</v>
      </c>
      <c r="J129" s="111"/>
      <c r="K129" s="110">
        <f t="shared" si="36"/>
        <v>65900</v>
      </c>
      <c r="L129" s="110">
        <f>49900</f>
        <v>49900</v>
      </c>
      <c r="M129" s="110">
        <v>16000</v>
      </c>
      <c r="N129" s="111"/>
      <c r="O129" s="111"/>
      <c r="P129" s="111">
        <f>L129</f>
        <v>49900</v>
      </c>
      <c r="Q129" s="110">
        <f t="shared" si="34"/>
        <v>5899700</v>
      </c>
      <c r="R129" s="71"/>
      <c r="S129" s="71"/>
      <c r="T129" s="66"/>
    </row>
    <row r="130" spans="1:20" s="15" customFormat="1" ht="66.75" customHeight="1">
      <c r="A130" s="96" t="s">
        <v>173</v>
      </c>
      <c r="B130" s="96" t="s">
        <v>377</v>
      </c>
      <c r="C130" s="96" t="s">
        <v>103</v>
      </c>
      <c r="D130" s="34" t="s">
        <v>174</v>
      </c>
      <c r="E130" s="39" t="s">
        <v>10</v>
      </c>
      <c r="F130" s="110">
        <f t="shared" si="35"/>
        <v>5348800</v>
      </c>
      <c r="G130" s="110">
        <f>4898800+450000</f>
        <v>5348800</v>
      </c>
      <c r="H130" s="111">
        <f>3414600+370000</f>
        <v>3784600</v>
      </c>
      <c r="I130" s="111">
        <v>643500</v>
      </c>
      <c r="J130" s="111"/>
      <c r="K130" s="110">
        <f t="shared" si="36"/>
        <v>76000</v>
      </c>
      <c r="L130" s="110">
        <f>1530000-1530000</f>
        <v>0</v>
      </c>
      <c r="M130" s="110">
        <v>76000</v>
      </c>
      <c r="N130" s="111">
        <v>20100</v>
      </c>
      <c r="O130" s="111"/>
      <c r="P130" s="111">
        <f>L130</f>
        <v>0</v>
      </c>
      <c r="Q130" s="110">
        <f t="shared" si="34"/>
        <v>5424800</v>
      </c>
      <c r="R130" s="71"/>
      <c r="S130" s="71"/>
      <c r="T130" s="66"/>
    </row>
    <row r="131" spans="1:20" s="15" customFormat="1" ht="87" customHeight="1">
      <c r="A131" s="96" t="s">
        <v>176</v>
      </c>
      <c r="B131" s="96" t="s">
        <v>378</v>
      </c>
      <c r="C131" s="96" t="s">
        <v>81</v>
      </c>
      <c r="D131" s="34" t="s">
        <v>175</v>
      </c>
      <c r="E131" s="39" t="s">
        <v>11</v>
      </c>
      <c r="F131" s="110">
        <f t="shared" si="35"/>
        <v>3290700</v>
      </c>
      <c r="G131" s="110">
        <f>3040700+250000</f>
        <v>3290700</v>
      </c>
      <c r="H131" s="111">
        <f>1965300+205000</f>
        <v>2170300</v>
      </c>
      <c r="I131" s="111">
        <v>554600</v>
      </c>
      <c r="J131" s="111"/>
      <c r="K131" s="110">
        <f t="shared" si="36"/>
        <v>45000</v>
      </c>
      <c r="L131" s="110">
        <f>49000-49000</f>
        <v>0</v>
      </c>
      <c r="M131" s="110">
        <v>45000</v>
      </c>
      <c r="N131" s="111">
        <v>3000</v>
      </c>
      <c r="O131" s="111"/>
      <c r="P131" s="111">
        <f>L131</f>
        <v>0</v>
      </c>
      <c r="Q131" s="110">
        <f t="shared" si="34"/>
        <v>3335700</v>
      </c>
      <c r="R131" s="71"/>
      <c r="S131" s="71"/>
      <c r="T131" s="66"/>
    </row>
    <row r="132" spans="1:20" s="15" customFormat="1" ht="58.7" customHeight="1">
      <c r="A132" s="96" t="s">
        <v>215</v>
      </c>
      <c r="B132" s="96" t="s">
        <v>379</v>
      </c>
      <c r="C132" s="96" t="s">
        <v>80</v>
      </c>
      <c r="D132" s="34" t="s">
        <v>216</v>
      </c>
      <c r="E132" s="39"/>
      <c r="F132" s="110">
        <f t="shared" si="35"/>
        <v>1231600</v>
      </c>
      <c r="G132" s="110">
        <f>1231600</f>
        <v>1231600</v>
      </c>
      <c r="H132" s="111">
        <v>932600</v>
      </c>
      <c r="I132" s="111">
        <v>46500</v>
      </c>
      <c r="J132" s="111"/>
      <c r="K132" s="110">
        <f t="shared" si="36"/>
        <v>0</v>
      </c>
      <c r="L132" s="110"/>
      <c r="M132" s="111"/>
      <c r="N132" s="110"/>
      <c r="O132" s="111"/>
      <c r="P132" s="111"/>
      <c r="Q132" s="110">
        <f t="shared" si="34"/>
        <v>1231600</v>
      </c>
      <c r="R132" s="71"/>
      <c r="S132" s="71"/>
      <c r="T132" s="66"/>
    </row>
    <row r="133" spans="1:20" s="15" customFormat="1" ht="55.9" customHeight="1">
      <c r="A133" s="96" t="s">
        <v>217</v>
      </c>
      <c r="B133" s="96" t="s">
        <v>380</v>
      </c>
      <c r="C133" s="96" t="s">
        <v>80</v>
      </c>
      <c r="D133" s="34" t="s">
        <v>218</v>
      </c>
      <c r="E133" s="39"/>
      <c r="F133" s="110">
        <f t="shared" si="35"/>
        <v>258050</v>
      </c>
      <c r="G133" s="110">
        <f>50000+30000+178050</f>
        <v>258050</v>
      </c>
      <c r="H133" s="111"/>
      <c r="I133" s="111"/>
      <c r="J133" s="111"/>
      <c r="K133" s="110">
        <f t="shared" si="36"/>
        <v>0</v>
      </c>
      <c r="L133" s="110"/>
      <c r="M133" s="111"/>
      <c r="N133" s="110"/>
      <c r="O133" s="111"/>
      <c r="P133" s="111">
        <f>L133</f>
        <v>0</v>
      </c>
      <c r="Q133" s="110">
        <f t="shared" si="34"/>
        <v>258050</v>
      </c>
      <c r="R133" s="71"/>
      <c r="S133" s="71"/>
      <c r="T133" s="66"/>
    </row>
    <row r="134" spans="1:20" s="15" customFormat="1" ht="63.75" hidden="1" customHeight="1">
      <c r="A134" s="96" t="s">
        <v>291</v>
      </c>
      <c r="B134" s="96" t="s">
        <v>334</v>
      </c>
      <c r="C134" s="96" t="s">
        <v>196</v>
      </c>
      <c r="D134" s="34" t="s">
        <v>313</v>
      </c>
      <c r="E134" s="39"/>
      <c r="F134" s="110">
        <f t="shared" si="35"/>
        <v>0</v>
      </c>
      <c r="G134" s="110"/>
      <c r="H134" s="111"/>
      <c r="I134" s="111"/>
      <c r="J134" s="111"/>
      <c r="K134" s="110">
        <f t="shared" si="36"/>
        <v>0</v>
      </c>
      <c r="L134" s="110"/>
      <c r="M134" s="111"/>
      <c r="N134" s="110"/>
      <c r="O134" s="111"/>
      <c r="P134" s="111"/>
      <c r="Q134" s="110">
        <f>F134+K134</f>
        <v>0</v>
      </c>
      <c r="R134" s="71"/>
      <c r="S134" s="71"/>
      <c r="T134" s="66"/>
    </row>
    <row r="135" spans="1:20" s="15" customFormat="1" ht="54.75" customHeight="1">
      <c r="A135" s="96" t="s">
        <v>504</v>
      </c>
      <c r="B135" s="96" t="s">
        <v>395</v>
      </c>
      <c r="C135" s="96" t="s">
        <v>79</v>
      </c>
      <c r="D135" s="59" t="s">
        <v>505</v>
      </c>
      <c r="E135" s="39"/>
      <c r="F135" s="110">
        <f t="shared" si="35"/>
        <v>0</v>
      </c>
      <c r="G135" s="113"/>
      <c r="H135" s="114"/>
      <c r="I135" s="114"/>
      <c r="J135" s="114"/>
      <c r="K135" s="110">
        <f t="shared" si="36"/>
        <v>0</v>
      </c>
      <c r="L135" s="113">
        <f>2600000-2600000</f>
        <v>0</v>
      </c>
      <c r="M135" s="114"/>
      <c r="N135" s="113"/>
      <c r="O135" s="114"/>
      <c r="P135" s="114">
        <f>L135</f>
        <v>0</v>
      </c>
      <c r="Q135" s="110">
        <f>F135+K135</f>
        <v>0</v>
      </c>
      <c r="R135" s="71"/>
      <c r="S135" s="71"/>
      <c r="T135" s="66"/>
    </row>
    <row r="136" spans="1:20" s="4" customFormat="1" ht="63.75" customHeight="1">
      <c r="A136" s="96" t="s">
        <v>418</v>
      </c>
      <c r="B136" s="96" t="s">
        <v>409</v>
      </c>
      <c r="C136" s="96" t="s">
        <v>410</v>
      </c>
      <c r="D136" s="34" t="s">
        <v>411</v>
      </c>
      <c r="E136" s="39"/>
      <c r="F136" s="110">
        <f t="shared" si="35"/>
        <v>217000</v>
      </c>
      <c r="G136" s="113">
        <f>200000+17000</f>
        <v>217000</v>
      </c>
      <c r="H136" s="114"/>
      <c r="I136" s="114"/>
      <c r="J136" s="114"/>
      <c r="K136" s="110">
        <f t="shared" si="36"/>
        <v>50000</v>
      </c>
      <c r="L136" s="113">
        <f>50000</f>
        <v>50000</v>
      </c>
      <c r="M136" s="113"/>
      <c r="N136" s="113"/>
      <c r="O136" s="114"/>
      <c r="P136" s="114">
        <f>L136</f>
        <v>50000</v>
      </c>
      <c r="Q136" s="110">
        <f>F136+K136</f>
        <v>267000</v>
      </c>
      <c r="R136" s="70"/>
      <c r="S136" s="70"/>
      <c r="T136" s="69"/>
    </row>
    <row r="137" spans="1:20" s="15" customFormat="1" ht="101.45" customHeight="1">
      <c r="A137" s="83" t="s">
        <v>142</v>
      </c>
      <c r="B137" s="83" t="s">
        <v>142</v>
      </c>
      <c r="C137" s="89"/>
      <c r="D137" s="88" t="s">
        <v>39</v>
      </c>
      <c r="E137" s="90"/>
      <c r="F137" s="86">
        <f>F138</f>
        <v>23548600</v>
      </c>
      <c r="G137" s="86">
        <f t="shared" ref="G137:P137" si="37">G138</f>
        <v>23548600</v>
      </c>
      <c r="H137" s="86">
        <f t="shared" si="37"/>
        <v>12182196.73</v>
      </c>
      <c r="I137" s="91">
        <f t="shared" si="37"/>
        <v>2219700</v>
      </c>
      <c r="J137" s="86">
        <f t="shared" si="37"/>
        <v>0</v>
      </c>
      <c r="K137" s="86">
        <f t="shared" si="37"/>
        <v>1596644</v>
      </c>
      <c r="L137" s="86">
        <f t="shared" si="37"/>
        <v>1508644</v>
      </c>
      <c r="M137" s="86">
        <f t="shared" si="37"/>
        <v>88000</v>
      </c>
      <c r="N137" s="86">
        <f t="shared" si="37"/>
        <v>59000</v>
      </c>
      <c r="O137" s="86">
        <f t="shared" si="37"/>
        <v>0</v>
      </c>
      <c r="P137" s="86">
        <f t="shared" si="37"/>
        <v>1508644</v>
      </c>
      <c r="Q137" s="86">
        <f t="shared" si="34"/>
        <v>25145244</v>
      </c>
      <c r="R137" s="67"/>
      <c r="S137" s="71"/>
      <c r="T137" s="66"/>
    </row>
    <row r="138" spans="1:20" s="15" customFormat="1" ht="53.1" customHeight="1">
      <c r="A138" s="101" t="s">
        <v>143</v>
      </c>
      <c r="B138" s="101" t="s">
        <v>143</v>
      </c>
      <c r="C138" s="96"/>
      <c r="D138" s="40" t="str">
        <f>D137</f>
        <v>Відділ з питань фізичної культури та спорту Ніжинської міської ради</v>
      </c>
      <c r="E138" s="38"/>
      <c r="F138" s="110">
        <f t="shared" ref="F138:P138" si="38">SUM(F139:F149)</f>
        <v>23548600</v>
      </c>
      <c r="G138" s="110">
        <f t="shared" si="38"/>
        <v>23548600</v>
      </c>
      <c r="H138" s="110">
        <f t="shared" si="38"/>
        <v>12182196.73</v>
      </c>
      <c r="I138" s="110">
        <f t="shared" si="38"/>
        <v>2219700</v>
      </c>
      <c r="J138" s="110">
        <f t="shared" si="38"/>
        <v>0</v>
      </c>
      <c r="K138" s="110">
        <f t="shared" si="38"/>
        <v>1596644</v>
      </c>
      <c r="L138" s="110">
        <f>SUM(L139:L149)</f>
        <v>1508644</v>
      </c>
      <c r="M138" s="110">
        <f t="shared" si="38"/>
        <v>88000</v>
      </c>
      <c r="N138" s="110">
        <f t="shared" si="38"/>
        <v>59000</v>
      </c>
      <c r="O138" s="110">
        <f t="shared" si="38"/>
        <v>0</v>
      </c>
      <c r="P138" s="110">
        <f t="shared" si="38"/>
        <v>1508644</v>
      </c>
      <c r="Q138" s="110">
        <f t="shared" si="34"/>
        <v>25145244</v>
      </c>
      <c r="R138" s="71"/>
      <c r="S138" s="71"/>
      <c r="T138" s="66"/>
    </row>
    <row r="139" spans="1:20" s="15" customFormat="1" ht="85.15" customHeight="1">
      <c r="A139" s="96" t="s">
        <v>144</v>
      </c>
      <c r="B139" s="96" t="s">
        <v>316</v>
      </c>
      <c r="C139" s="96" t="s">
        <v>57</v>
      </c>
      <c r="D139" s="42" t="s">
        <v>502</v>
      </c>
      <c r="E139" s="39"/>
      <c r="F139" s="110">
        <f t="shared" ref="F139:F149" si="39">G139+J139</f>
        <v>1714000</v>
      </c>
      <c r="G139" s="110">
        <f>1514000+200000</f>
        <v>1714000</v>
      </c>
      <c r="H139" s="111">
        <f>1204700+170000</f>
        <v>1374700</v>
      </c>
      <c r="I139" s="111">
        <v>36300</v>
      </c>
      <c r="J139" s="111"/>
      <c r="K139" s="110">
        <f>M139+P139</f>
        <v>0</v>
      </c>
      <c r="L139" s="110"/>
      <c r="M139" s="111"/>
      <c r="N139" s="110"/>
      <c r="O139" s="111"/>
      <c r="P139" s="111">
        <f t="shared" ref="P139:P146" si="40">L139</f>
        <v>0</v>
      </c>
      <c r="Q139" s="110">
        <f t="shared" si="34"/>
        <v>1714000</v>
      </c>
      <c r="R139" s="71"/>
      <c r="S139" s="71"/>
      <c r="T139" s="66"/>
    </row>
    <row r="140" spans="1:20" s="15" customFormat="1" ht="54.75" customHeight="1">
      <c r="A140" s="96" t="s">
        <v>277</v>
      </c>
      <c r="B140" s="96" t="s">
        <v>256</v>
      </c>
      <c r="C140" s="98" t="s">
        <v>68</v>
      </c>
      <c r="D140" s="51" t="s">
        <v>131</v>
      </c>
      <c r="E140" s="39"/>
      <c r="F140" s="110">
        <f t="shared" si="39"/>
        <v>3000</v>
      </c>
      <c r="G140" s="110">
        <f>3000</f>
        <v>3000</v>
      </c>
      <c r="H140" s="111"/>
      <c r="I140" s="111"/>
      <c r="J140" s="111"/>
      <c r="K140" s="110">
        <f>M140+P140</f>
        <v>0</v>
      </c>
      <c r="L140" s="110"/>
      <c r="M140" s="111"/>
      <c r="N140" s="110"/>
      <c r="O140" s="111"/>
      <c r="P140" s="111">
        <f t="shared" si="40"/>
        <v>0</v>
      </c>
      <c r="Q140" s="110">
        <f t="shared" si="34"/>
        <v>3000</v>
      </c>
      <c r="R140" s="71"/>
      <c r="S140" s="71"/>
      <c r="T140" s="66"/>
    </row>
    <row r="141" spans="1:20" s="15" customFormat="1" ht="59.1" customHeight="1">
      <c r="A141" s="96" t="s">
        <v>193</v>
      </c>
      <c r="B141" s="96" t="s">
        <v>381</v>
      </c>
      <c r="C141" s="96" t="s">
        <v>73</v>
      </c>
      <c r="D141" s="34" t="s">
        <v>89</v>
      </c>
      <c r="E141" s="39"/>
      <c r="F141" s="110">
        <f t="shared" si="39"/>
        <v>1225000</v>
      </c>
      <c r="G141" s="110">
        <f>550000+190000+300000-45000+100000+130000</f>
        <v>1225000</v>
      </c>
      <c r="H141" s="111"/>
      <c r="I141" s="111">
        <v>0</v>
      </c>
      <c r="J141" s="111"/>
      <c r="K141" s="110">
        <f t="shared" ref="K141:K149" si="41">M141+P141</f>
        <v>0</v>
      </c>
      <c r="L141" s="110"/>
      <c r="M141" s="111"/>
      <c r="N141" s="110"/>
      <c r="O141" s="111"/>
      <c r="P141" s="111">
        <f t="shared" si="40"/>
        <v>0</v>
      </c>
      <c r="Q141" s="110">
        <f t="shared" si="34"/>
        <v>1225000</v>
      </c>
      <c r="R141" s="71"/>
      <c r="S141" s="71"/>
      <c r="T141" s="66"/>
    </row>
    <row r="142" spans="1:20" s="15" customFormat="1" ht="56.45" customHeight="1">
      <c r="A142" s="96" t="s">
        <v>145</v>
      </c>
      <c r="B142" s="96" t="s">
        <v>382</v>
      </c>
      <c r="C142" s="96" t="s">
        <v>73</v>
      </c>
      <c r="D142" s="34" t="s">
        <v>90</v>
      </c>
      <c r="E142" s="39"/>
      <c r="F142" s="110">
        <f t="shared" si="39"/>
        <v>380000</v>
      </c>
      <c r="G142" s="110">
        <f>185000-20000+65000+150000</f>
        <v>380000</v>
      </c>
      <c r="H142" s="111"/>
      <c r="I142" s="111"/>
      <c r="J142" s="111"/>
      <c r="K142" s="110">
        <f t="shared" si="41"/>
        <v>0</v>
      </c>
      <c r="L142" s="110"/>
      <c r="M142" s="111"/>
      <c r="N142" s="110"/>
      <c r="O142" s="111"/>
      <c r="P142" s="111">
        <f t="shared" si="40"/>
        <v>0</v>
      </c>
      <c r="Q142" s="110">
        <f t="shared" si="34"/>
        <v>380000</v>
      </c>
      <c r="R142" s="71"/>
      <c r="S142" s="71"/>
      <c r="T142" s="66"/>
    </row>
    <row r="143" spans="1:20" s="15" customFormat="1" ht="78.599999999999994" customHeight="1">
      <c r="A143" s="96" t="s">
        <v>444</v>
      </c>
      <c r="B143" s="96" t="s">
        <v>343</v>
      </c>
      <c r="C143" s="100" t="s">
        <v>73</v>
      </c>
      <c r="D143" s="52" t="s">
        <v>88</v>
      </c>
      <c r="E143" s="39"/>
      <c r="F143" s="110">
        <f>G143+J144</f>
        <v>12828000</v>
      </c>
      <c r="G143" s="110">
        <f>13272000+300000+1000000+600000+100000-3500000+98000+976000-18000</f>
        <v>12828000</v>
      </c>
      <c r="H143" s="111">
        <f>6930300+820000+800000</f>
        <v>8550300</v>
      </c>
      <c r="I143" s="111">
        <f>953700+370000</f>
        <v>1323700</v>
      </c>
      <c r="J143" s="111"/>
      <c r="K143" s="110">
        <f t="shared" si="41"/>
        <v>0</v>
      </c>
      <c r="L143" s="110"/>
      <c r="M143" s="111"/>
      <c r="N143" s="110"/>
      <c r="O143" s="111"/>
      <c r="P143" s="111">
        <f t="shared" si="40"/>
        <v>0</v>
      </c>
      <c r="Q143" s="110">
        <f t="shared" si="34"/>
        <v>12828000</v>
      </c>
      <c r="R143" s="71"/>
      <c r="S143" s="71"/>
      <c r="T143" s="66"/>
    </row>
    <row r="144" spans="1:20" s="15" customFormat="1" ht="83.1" customHeight="1">
      <c r="A144" s="96" t="s">
        <v>147</v>
      </c>
      <c r="B144" s="96" t="s">
        <v>383</v>
      </c>
      <c r="C144" s="96" t="s">
        <v>73</v>
      </c>
      <c r="D144" s="34" t="s">
        <v>91</v>
      </c>
      <c r="E144" s="39"/>
      <c r="F144" s="110">
        <f>G144+J146</f>
        <v>2980000</v>
      </c>
      <c r="G144" s="123">
        <v>2980000</v>
      </c>
      <c r="H144" s="123"/>
      <c r="I144" s="123"/>
      <c r="J144" s="111"/>
      <c r="K144" s="110">
        <f t="shared" si="41"/>
        <v>0</v>
      </c>
      <c r="L144" s="110"/>
      <c r="M144" s="111"/>
      <c r="N144" s="110"/>
      <c r="O144" s="111"/>
      <c r="P144" s="111">
        <f t="shared" si="40"/>
        <v>0</v>
      </c>
      <c r="Q144" s="110">
        <f t="shared" si="34"/>
        <v>2980000</v>
      </c>
      <c r="R144" s="71"/>
      <c r="S144" s="71"/>
      <c r="T144" s="66"/>
    </row>
    <row r="145" spans="1:20" s="15" customFormat="1" ht="78.400000000000006" customHeight="1">
      <c r="A145" s="96" t="s">
        <v>557</v>
      </c>
      <c r="B145" s="96" t="s">
        <v>558</v>
      </c>
      <c r="C145" s="96" t="s">
        <v>73</v>
      </c>
      <c r="D145" s="34" t="s">
        <v>559</v>
      </c>
      <c r="E145" s="39"/>
      <c r="F145" s="110">
        <f>G145+J145</f>
        <v>77100</v>
      </c>
      <c r="G145" s="123">
        <v>77100</v>
      </c>
      <c r="H145" s="123">
        <v>63196.73</v>
      </c>
      <c r="I145" s="123"/>
      <c r="J145" s="111"/>
      <c r="K145" s="110">
        <f t="shared" si="41"/>
        <v>0</v>
      </c>
      <c r="L145" s="110"/>
      <c r="M145" s="111"/>
      <c r="N145" s="110"/>
      <c r="O145" s="111"/>
      <c r="P145" s="111"/>
      <c r="Q145" s="110">
        <f t="shared" si="34"/>
        <v>77100</v>
      </c>
      <c r="R145" s="71"/>
      <c r="S145" s="71"/>
      <c r="T145" s="66"/>
    </row>
    <row r="146" spans="1:20" s="15" customFormat="1" ht="112.7" customHeight="1">
      <c r="A146" s="96" t="s">
        <v>146</v>
      </c>
      <c r="B146" s="96" t="s">
        <v>384</v>
      </c>
      <c r="C146" s="96" t="s">
        <v>73</v>
      </c>
      <c r="D146" s="34" t="s">
        <v>274</v>
      </c>
      <c r="E146" s="53"/>
      <c r="F146" s="110">
        <f t="shared" si="39"/>
        <v>4293500</v>
      </c>
      <c r="G146" s="110">
        <f>3432000+150000+89000+13000+30000+190000+273000+45000+22000+49500</f>
        <v>4293500</v>
      </c>
      <c r="H146" s="111">
        <f>2194000</f>
        <v>2194000</v>
      </c>
      <c r="I146" s="111">
        <f>647700+190000+22000</f>
        <v>859700</v>
      </c>
      <c r="J146" s="111"/>
      <c r="K146" s="110">
        <f t="shared" si="41"/>
        <v>1596644</v>
      </c>
      <c r="L146" s="110">
        <f>1100000+748644-340000</f>
        <v>1508644</v>
      </c>
      <c r="M146" s="111">
        <v>88000</v>
      </c>
      <c r="N146" s="110">
        <v>59000</v>
      </c>
      <c r="O146" s="111"/>
      <c r="P146" s="111">
        <f t="shared" si="40"/>
        <v>1508644</v>
      </c>
      <c r="Q146" s="110">
        <f>F146+K146</f>
        <v>5890144</v>
      </c>
      <c r="R146" s="71"/>
      <c r="S146" s="71"/>
      <c r="T146" s="66"/>
    </row>
    <row r="147" spans="1:20" s="15" customFormat="1" ht="48.75" hidden="1" customHeight="1">
      <c r="A147" s="96" t="s">
        <v>259</v>
      </c>
      <c r="B147" s="96" t="s">
        <v>334</v>
      </c>
      <c r="C147" s="96" t="s">
        <v>196</v>
      </c>
      <c r="D147" s="34" t="s">
        <v>255</v>
      </c>
      <c r="E147" s="53"/>
      <c r="F147" s="110">
        <f t="shared" si="39"/>
        <v>0</v>
      </c>
      <c r="G147" s="110"/>
      <c r="H147" s="111"/>
      <c r="I147" s="111"/>
      <c r="J147" s="111"/>
      <c r="K147" s="110">
        <f t="shared" si="41"/>
        <v>0</v>
      </c>
      <c r="L147" s="110"/>
      <c r="M147" s="111"/>
      <c r="N147" s="110"/>
      <c r="O147" s="111"/>
      <c r="P147" s="111">
        <f t="shared" ref="P147:P149" si="42">L147</f>
        <v>0</v>
      </c>
      <c r="Q147" s="110">
        <f t="shared" ref="Q147:Q148" si="43">F147+K147</f>
        <v>0</v>
      </c>
      <c r="R147" s="71"/>
      <c r="S147" s="71"/>
      <c r="T147" s="66"/>
    </row>
    <row r="148" spans="1:20" s="15" customFormat="1" ht="48.75" customHeight="1">
      <c r="A148" s="96" t="s">
        <v>524</v>
      </c>
      <c r="B148" s="96" t="s">
        <v>393</v>
      </c>
      <c r="C148" s="96" t="s">
        <v>79</v>
      </c>
      <c r="D148" s="34" t="s">
        <v>525</v>
      </c>
      <c r="E148" s="53"/>
      <c r="F148" s="110">
        <f t="shared" si="39"/>
        <v>0</v>
      </c>
      <c r="G148" s="110"/>
      <c r="H148" s="111"/>
      <c r="I148" s="111"/>
      <c r="J148" s="111"/>
      <c r="K148" s="110">
        <f t="shared" si="41"/>
        <v>0</v>
      </c>
      <c r="L148" s="113">
        <f>225000-225000</f>
        <v>0</v>
      </c>
      <c r="M148" s="114"/>
      <c r="N148" s="113"/>
      <c r="O148" s="114"/>
      <c r="P148" s="111">
        <f>L148</f>
        <v>0</v>
      </c>
      <c r="Q148" s="110">
        <f t="shared" si="43"/>
        <v>0</v>
      </c>
      <c r="R148" s="71"/>
      <c r="S148" s="71"/>
      <c r="T148" s="66"/>
    </row>
    <row r="149" spans="1:20" s="4" customFormat="1" ht="66.2" customHeight="1">
      <c r="A149" s="96" t="s">
        <v>419</v>
      </c>
      <c r="B149" s="96" t="s">
        <v>409</v>
      </c>
      <c r="C149" s="96" t="s">
        <v>410</v>
      </c>
      <c r="D149" s="34" t="s">
        <v>411</v>
      </c>
      <c r="E149" s="53"/>
      <c r="F149" s="110">
        <f t="shared" si="39"/>
        <v>48000</v>
      </c>
      <c r="G149" s="113">
        <f>30000+18000</f>
        <v>48000</v>
      </c>
      <c r="H149" s="114"/>
      <c r="I149" s="114"/>
      <c r="J149" s="114"/>
      <c r="K149" s="110">
        <f t="shared" si="41"/>
        <v>0</v>
      </c>
      <c r="L149" s="113"/>
      <c r="M149" s="113"/>
      <c r="N149" s="113"/>
      <c r="O149" s="114"/>
      <c r="P149" s="111">
        <f t="shared" si="42"/>
        <v>0</v>
      </c>
      <c r="Q149" s="110">
        <f>F149+K149</f>
        <v>48000</v>
      </c>
      <c r="R149" s="70"/>
      <c r="S149" s="70"/>
      <c r="T149" s="69"/>
    </row>
    <row r="150" spans="1:20" s="15" customFormat="1" ht="96" customHeight="1">
      <c r="A150" s="83" t="s">
        <v>177</v>
      </c>
      <c r="B150" s="83" t="s">
        <v>177</v>
      </c>
      <c r="C150" s="83"/>
      <c r="D150" s="88" t="s">
        <v>32</v>
      </c>
      <c r="E150" s="92" t="s">
        <v>32</v>
      </c>
      <c r="F150" s="86">
        <f>F151</f>
        <v>114532073</v>
      </c>
      <c r="G150" s="86">
        <f>G151</f>
        <v>80597503.650000006</v>
      </c>
      <c r="H150" s="86">
        <f>H151</f>
        <v>5651600</v>
      </c>
      <c r="I150" s="86">
        <f>I151</f>
        <v>8724000</v>
      </c>
      <c r="J150" s="86">
        <f t="shared" ref="J150:P150" si="44">J151</f>
        <v>33934569.350000001</v>
      </c>
      <c r="K150" s="86">
        <f t="shared" si="44"/>
        <v>53126247</v>
      </c>
      <c r="L150" s="86">
        <f t="shared" si="44"/>
        <v>47827562</v>
      </c>
      <c r="M150" s="86">
        <f t="shared" si="44"/>
        <v>1013685</v>
      </c>
      <c r="N150" s="86">
        <f t="shared" si="44"/>
        <v>0</v>
      </c>
      <c r="O150" s="86">
        <f t="shared" si="44"/>
        <v>0</v>
      </c>
      <c r="P150" s="86">
        <f t="shared" si="44"/>
        <v>52112562</v>
      </c>
      <c r="Q150" s="86">
        <f t="shared" si="34"/>
        <v>167658320</v>
      </c>
      <c r="R150" s="71"/>
      <c r="S150" s="71"/>
      <c r="T150" s="66"/>
    </row>
    <row r="151" spans="1:20" s="16" customFormat="1" ht="80.099999999999994" customHeight="1">
      <c r="A151" s="106" t="s">
        <v>178</v>
      </c>
      <c r="B151" s="106" t="s">
        <v>178</v>
      </c>
      <c r="C151" s="105"/>
      <c r="D151" s="134" t="str">
        <f>D150</f>
        <v>Управління житлово-комунального господарства та будівництва міської ради</v>
      </c>
      <c r="E151" s="41"/>
      <c r="F151" s="124">
        <f t="shared" ref="F151:O151" si="45">SUM(F152:F189)</f>
        <v>114532073</v>
      </c>
      <c r="G151" s="124">
        <f>SUM(G152:G190)</f>
        <v>80597503.650000006</v>
      </c>
      <c r="H151" s="124">
        <f t="shared" ref="H151:J151" si="46">SUM(H152:H190)</f>
        <v>5651600</v>
      </c>
      <c r="I151" s="124">
        <f t="shared" si="46"/>
        <v>8724000</v>
      </c>
      <c r="J151" s="124">
        <f t="shared" si="46"/>
        <v>33934569.350000001</v>
      </c>
      <c r="K151" s="124">
        <f>SUM(K152:K189)+K190</f>
        <v>53126247</v>
      </c>
      <c r="L151" s="124">
        <f>SUM(L152:L189)+L190</f>
        <v>47827562</v>
      </c>
      <c r="M151" s="124">
        <f t="shared" si="45"/>
        <v>1013685</v>
      </c>
      <c r="N151" s="124">
        <f t="shared" si="45"/>
        <v>0</v>
      </c>
      <c r="O151" s="124">
        <f t="shared" si="45"/>
        <v>0</v>
      </c>
      <c r="P151" s="124">
        <f>SUM(P152:P189)+P190</f>
        <v>52112562</v>
      </c>
      <c r="Q151" s="110">
        <f t="shared" si="34"/>
        <v>167658320</v>
      </c>
      <c r="R151" s="72"/>
      <c r="S151" s="72"/>
      <c r="T151" s="73"/>
    </row>
    <row r="152" spans="1:20" s="4" customFormat="1" ht="84.2" customHeight="1">
      <c r="A152" s="96" t="s">
        <v>179</v>
      </c>
      <c r="B152" s="96" t="s">
        <v>316</v>
      </c>
      <c r="C152" s="96" t="s">
        <v>57</v>
      </c>
      <c r="D152" s="42" t="s">
        <v>453</v>
      </c>
      <c r="E152" s="39" t="s">
        <v>2</v>
      </c>
      <c r="F152" s="110">
        <f t="shared" ref="F152:F190" si="47">G152+J152</f>
        <v>7395100</v>
      </c>
      <c r="G152" s="110">
        <f>6321000+800000+234100+40000</f>
        <v>7395100</v>
      </c>
      <c r="H152" s="111">
        <f>4859900+650000+141700</f>
        <v>5651600</v>
      </c>
      <c r="I152" s="111">
        <f>261000+40000</f>
        <v>301000</v>
      </c>
      <c r="J152" s="111"/>
      <c r="K152" s="110">
        <f t="shared" ref="K152:K190" si="48">M152+P152</f>
        <v>240000</v>
      </c>
      <c r="L152" s="110"/>
      <c r="M152" s="125">
        <f>165000</f>
        <v>165000</v>
      </c>
      <c r="N152" s="110"/>
      <c r="O152" s="111"/>
      <c r="P152" s="111">
        <v>75000</v>
      </c>
      <c r="Q152" s="110">
        <f t="shared" si="34"/>
        <v>7635100</v>
      </c>
      <c r="R152" s="70"/>
      <c r="S152" s="70"/>
      <c r="T152" s="69"/>
    </row>
    <row r="153" spans="1:20" s="4" customFormat="1" ht="51.6" customHeight="1">
      <c r="A153" s="96" t="s">
        <v>258</v>
      </c>
      <c r="B153" s="96" t="s">
        <v>256</v>
      </c>
      <c r="C153" s="96" t="s">
        <v>68</v>
      </c>
      <c r="D153" s="42" t="s">
        <v>131</v>
      </c>
      <c r="E153" s="39"/>
      <c r="F153" s="110">
        <f t="shared" si="47"/>
        <v>95000</v>
      </c>
      <c r="G153" s="110">
        <f>5000+90000</f>
        <v>95000</v>
      </c>
      <c r="H153" s="111"/>
      <c r="I153" s="111"/>
      <c r="J153" s="111"/>
      <c r="K153" s="110">
        <f t="shared" si="48"/>
        <v>0</v>
      </c>
      <c r="L153" s="110"/>
      <c r="M153" s="111"/>
      <c r="N153" s="110"/>
      <c r="O153" s="111"/>
      <c r="P153" s="111"/>
      <c r="Q153" s="110">
        <f t="shared" si="34"/>
        <v>95000</v>
      </c>
      <c r="R153" s="70"/>
      <c r="S153" s="70"/>
      <c r="T153" s="69"/>
    </row>
    <row r="154" spans="1:20" s="4" customFormat="1" ht="93.2" customHeight="1">
      <c r="A154" s="96" t="s">
        <v>571</v>
      </c>
      <c r="B154" s="96" t="s">
        <v>562</v>
      </c>
      <c r="C154" s="96" t="s">
        <v>72</v>
      </c>
      <c r="D154" s="42" t="s">
        <v>572</v>
      </c>
      <c r="E154" s="39"/>
      <c r="F154" s="110">
        <f t="shared" si="47"/>
        <v>0</v>
      </c>
      <c r="G154" s="110"/>
      <c r="H154" s="111"/>
      <c r="I154" s="111"/>
      <c r="J154" s="111"/>
      <c r="K154" s="110">
        <f t="shared" si="48"/>
        <v>2052770</v>
      </c>
      <c r="L154" s="110">
        <f>1402770+650000</f>
        <v>2052770</v>
      </c>
      <c r="M154" s="111"/>
      <c r="N154" s="110"/>
      <c r="O154" s="111"/>
      <c r="P154" s="111">
        <f>L154</f>
        <v>2052770</v>
      </c>
      <c r="Q154" s="110">
        <f t="shared" si="34"/>
        <v>2052770</v>
      </c>
      <c r="R154" s="70"/>
      <c r="S154" s="70"/>
      <c r="T154" s="69"/>
    </row>
    <row r="155" spans="1:20" s="4" customFormat="1" ht="98.1" customHeight="1">
      <c r="A155" s="96" t="s">
        <v>567</v>
      </c>
      <c r="B155" s="96" t="s">
        <v>564</v>
      </c>
      <c r="C155" s="96" t="s">
        <v>72</v>
      </c>
      <c r="D155" s="42" t="s">
        <v>566</v>
      </c>
      <c r="E155" s="39"/>
      <c r="F155" s="110">
        <f t="shared" si="47"/>
        <v>0</v>
      </c>
      <c r="G155" s="110"/>
      <c r="H155" s="111"/>
      <c r="I155" s="111"/>
      <c r="J155" s="111"/>
      <c r="K155" s="110">
        <f t="shared" si="48"/>
        <v>3273140</v>
      </c>
      <c r="L155" s="110">
        <v>3273140</v>
      </c>
      <c r="M155" s="111"/>
      <c r="N155" s="110"/>
      <c r="O155" s="111"/>
      <c r="P155" s="111">
        <f>L155</f>
        <v>3273140</v>
      </c>
      <c r="Q155" s="110">
        <f t="shared" si="34"/>
        <v>3273140</v>
      </c>
      <c r="R155" s="70"/>
      <c r="S155" s="70"/>
      <c r="T155" s="69"/>
    </row>
    <row r="156" spans="1:20" s="4" customFormat="1" ht="52.35" customHeight="1">
      <c r="A156" s="96" t="s">
        <v>281</v>
      </c>
      <c r="B156" s="96" t="s">
        <v>374</v>
      </c>
      <c r="C156" s="96" t="s">
        <v>279</v>
      </c>
      <c r="D156" s="34" t="s">
        <v>278</v>
      </c>
      <c r="E156" s="39"/>
      <c r="F156" s="110">
        <f t="shared" si="47"/>
        <v>261529</v>
      </c>
      <c r="G156" s="110">
        <f>261529</f>
        <v>261529</v>
      </c>
      <c r="H156" s="111"/>
      <c r="I156" s="111"/>
      <c r="J156" s="111"/>
      <c r="K156" s="110">
        <f t="shared" si="48"/>
        <v>0</v>
      </c>
      <c r="L156" s="110"/>
      <c r="M156" s="111"/>
      <c r="N156" s="110"/>
      <c r="O156" s="111"/>
      <c r="P156" s="111"/>
      <c r="Q156" s="110">
        <f t="shared" si="34"/>
        <v>261529</v>
      </c>
      <c r="R156" s="70"/>
      <c r="S156" s="70"/>
      <c r="T156" s="69"/>
    </row>
    <row r="157" spans="1:20" s="4" customFormat="1" ht="48.2" hidden="1" customHeight="1">
      <c r="A157" s="96" t="s">
        <v>302</v>
      </c>
      <c r="B157" s="96" t="s">
        <v>385</v>
      </c>
      <c r="C157" s="96" t="s">
        <v>73</v>
      </c>
      <c r="D157" s="34" t="s">
        <v>303</v>
      </c>
      <c r="E157" s="39"/>
      <c r="F157" s="110">
        <f t="shared" si="47"/>
        <v>0</v>
      </c>
      <c r="G157" s="110"/>
      <c r="H157" s="111"/>
      <c r="I157" s="111"/>
      <c r="J157" s="111"/>
      <c r="K157" s="110">
        <f t="shared" si="48"/>
        <v>0</v>
      </c>
      <c r="L157" s="110"/>
      <c r="M157" s="111"/>
      <c r="N157" s="110"/>
      <c r="O157" s="111"/>
      <c r="P157" s="111">
        <f>L157</f>
        <v>0</v>
      </c>
      <c r="Q157" s="110">
        <f t="shared" si="34"/>
        <v>0</v>
      </c>
      <c r="R157" s="70"/>
      <c r="S157" s="70"/>
      <c r="T157" s="69"/>
    </row>
    <row r="158" spans="1:20" s="14" customFormat="1" ht="34.35" hidden="1" customHeight="1">
      <c r="A158" s="96" t="s">
        <v>180</v>
      </c>
      <c r="B158" s="96" t="s">
        <v>386</v>
      </c>
      <c r="C158" s="96" t="s">
        <v>64</v>
      </c>
      <c r="D158" s="34" t="s">
        <v>262</v>
      </c>
      <c r="E158" s="54" t="s">
        <v>43</v>
      </c>
      <c r="F158" s="110">
        <f t="shared" si="47"/>
        <v>0</v>
      </c>
      <c r="G158" s="110"/>
      <c r="H158" s="111"/>
      <c r="I158" s="111"/>
      <c r="J158" s="111"/>
      <c r="K158" s="110">
        <f t="shared" si="48"/>
        <v>0</v>
      </c>
      <c r="L158" s="110"/>
      <c r="M158" s="111"/>
      <c r="N158" s="110"/>
      <c r="O158" s="111"/>
      <c r="P158" s="111"/>
      <c r="Q158" s="110">
        <f t="shared" si="34"/>
        <v>0</v>
      </c>
      <c r="R158" s="68"/>
      <c r="S158" s="68"/>
      <c r="T158" s="69"/>
    </row>
    <row r="159" spans="1:20" s="4" customFormat="1" ht="34.35" hidden="1" customHeight="1">
      <c r="A159" s="77">
        <v>1216011</v>
      </c>
      <c r="B159" s="96" t="s">
        <v>387</v>
      </c>
      <c r="C159" s="96" t="s">
        <v>64</v>
      </c>
      <c r="D159" s="44" t="s">
        <v>236</v>
      </c>
      <c r="E159" s="39"/>
      <c r="F159" s="110">
        <f t="shared" si="47"/>
        <v>0</v>
      </c>
      <c r="G159" s="110"/>
      <c r="H159" s="111"/>
      <c r="I159" s="111"/>
      <c r="J159" s="111"/>
      <c r="K159" s="110">
        <f t="shared" si="48"/>
        <v>0</v>
      </c>
      <c r="L159" s="110"/>
      <c r="M159" s="111"/>
      <c r="N159" s="110"/>
      <c r="O159" s="111"/>
      <c r="P159" s="111">
        <f>L159</f>
        <v>0</v>
      </c>
      <c r="Q159" s="110">
        <f t="shared" si="34"/>
        <v>0</v>
      </c>
      <c r="R159" s="70"/>
      <c r="S159" s="70"/>
      <c r="T159" s="69"/>
    </row>
    <row r="160" spans="1:20" s="4" customFormat="1" ht="54.75" customHeight="1">
      <c r="A160" s="77">
        <v>1215045</v>
      </c>
      <c r="B160" s="96" t="s">
        <v>385</v>
      </c>
      <c r="C160" s="96" t="s">
        <v>73</v>
      </c>
      <c r="D160" s="44" t="s">
        <v>442</v>
      </c>
      <c r="E160" s="39"/>
      <c r="F160" s="110">
        <f t="shared" si="47"/>
        <v>0</v>
      </c>
      <c r="G160" s="110"/>
      <c r="H160" s="111"/>
      <c r="I160" s="111"/>
      <c r="J160" s="111"/>
      <c r="K160" s="110">
        <f t="shared" si="48"/>
        <v>0</v>
      </c>
      <c r="L160" s="110">
        <f>1500000-1500000</f>
        <v>0</v>
      </c>
      <c r="M160" s="111"/>
      <c r="N160" s="110"/>
      <c r="O160" s="111"/>
      <c r="P160" s="111">
        <f>L160</f>
        <v>0</v>
      </c>
      <c r="Q160" s="110">
        <f t="shared" si="34"/>
        <v>0</v>
      </c>
      <c r="R160" s="70"/>
      <c r="S160" s="70"/>
      <c r="T160" s="69"/>
    </row>
    <row r="161" spans="1:20" s="4" customFormat="1" ht="49.15" customHeight="1">
      <c r="A161" s="77">
        <v>1216011</v>
      </c>
      <c r="B161" s="96" t="s">
        <v>387</v>
      </c>
      <c r="C161" s="96" t="s">
        <v>285</v>
      </c>
      <c r="D161" s="44" t="s">
        <v>443</v>
      </c>
      <c r="E161" s="39"/>
      <c r="F161" s="110">
        <f t="shared" si="47"/>
        <v>94820</v>
      </c>
      <c r="G161" s="110">
        <f>94820</f>
        <v>94820</v>
      </c>
      <c r="H161" s="111"/>
      <c r="I161" s="111"/>
      <c r="J161" s="111"/>
      <c r="K161" s="110">
        <f t="shared" si="48"/>
        <v>2570000</v>
      </c>
      <c r="L161" s="110">
        <f>1700000+1600000-140804-1934000-65000-300000-506000-354196+90000+2480000</f>
        <v>2570000</v>
      </c>
      <c r="M161" s="111"/>
      <c r="N161" s="110"/>
      <c r="O161" s="111"/>
      <c r="P161" s="111">
        <f>L161</f>
        <v>2570000</v>
      </c>
      <c r="Q161" s="110">
        <f t="shared" si="34"/>
        <v>2664820</v>
      </c>
      <c r="R161" s="70"/>
      <c r="S161" s="70"/>
      <c r="T161" s="69"/>
    </row>
    <row r="162" spans="1:20" s="4" customFormat="1" ht="47.45" customHeight="1">
      <c r="A162" s="77">
        <v>1216013</v>
      </c>
      <c r="B162" s="96" t="s">
        <v>388</v>
      </c>
      <c r="C162" s="96" t="s">
        <v>64</v>
      </c>
      <c r="D162" s="44" t="s">
        <v>247</v>
      </c>
      <c r="E162" s="39"/>
      <c r="F162" s="110">
        <f t="shared" si="47"/>
        <v>804100</v>
      </c>
      <c r="G162" s="110">
        <v>492740.65</v>
      </c>
      <c r="H162" s="111"/>
      <c r="I162" s="111"/>
      <c r="J162" s="111">
        <f>589859.35-278500</f>
        <v>311359.34999999998</v>
      </c>
      <c r="K162" s="110">
        <f t="shared" si="48"/>
        <v>278500</v>
      </c>
      <c r="L162" s="110">
        <f>278500</f>
        <v>278500</v>
      </c>
      <c r="M162" s="111"/>
      <c r="N162" s="110"/>
      <c r="O162" s="111"/>
      <c r="P162" s="111">
        <f>L162</f>
        <v>278500</v>
      </c>
      <c r="Q162" s="110">
        <f t="shared" si="34"/>
        <v>1082600</v>
      </c>
      <c r="R162" s="70"/>
      <c r="S162" s="70"/>
      <c r="T162" s="69"/>
    </row>
    <row r="163" spans="1:20" s="4" customFormat="1" ht="73.349999999999994" customHeight="1">
      <c r="A163" s="77">
        <v>1216016</v>
      </c>
      <c r="B163" s="96" t="s">
        <v>420</v>
      </c>
      <c r="C163" s="96" t="s">
        <v>64</v>
      </c>
      <c r="D163" s="44" t="s">
        <v>421</v>
      </c>
      <c r="E163" s="39"/>
      <c r="F163" s="110">
        <f>G163+J163</f>
        <v>0</v>
      </c>
      <c r="G163" s="110"/>
      <c r="H163" s="111"/>
      <c r="I163" s="111"/>
      <c r="J163" s="111">
        <f>300000-300000</f>
        <v>0</v>
      </c>
      <c r="K163" s="110">
        <f>M163+P163</f>
        <v>6200000</v>
      </c>
      <c r="L163" s="110">
        <v>6200000</v>
      </c>
      <c r="M163" s="111"/>
      <c r="N163" s="110"/>
      <c r="O163" s="111"/>
      <c r="P163" s="111">
        <f>L163</f>
        <v>6200000</v>
      </c>
      <c r="Q163" s="110">
        <f>F163+K163</f>
        <v>6200000</v>
      </c>
      <c r="R163" s="70"/>
      <c r="S163" s="70"/>
      <c r="T163" s="69"/>
    </row>
    <row r="164" spans="1:20" s="4" customFormat="1" ht="34.35" hidden="1" customHeight="1">
      <c r="A164" s="77">
        <v>1216017</v>
      </c>
      <c r="B164" s="96" t="s">
        <v>389</v>
      </c>
      <c r="C164" s="96" t="s">
        <v>64</v>
      </c>
      <c r="D164" s="44" t="s">
        <v>263</v>
      </c>
      <c r="E164" s="39"/>
      <c r="F164" s="110">
        <f t="shared" si="47"/>
        <v>0</v>
      </c>
      <c r="G164" s="110"/>
      <c r="H164" s="111"/>
      <c r="I164" s="111"/>
      <c r="J164" s="111"/>
      <c r="K164" s="110">
        <f t="shared" si="48"/>
        <v>0</v>
      </c>
      <c r="L164" s="110"/>
      <c r="M164" s="111"/>
      <c r="N164" s="110"/>
      <c r="O164" s="111"/>
      <c r="P164" s="111"/>
      <c r="Q164" s="110">
        <f t="shared" si="34"/>
        <v>0</v>
      </c>
      <c r="R164" s="70"/>
      <c r="S164" s="70"/>
      <c r="T164" s="69"/>
    </row>
    <row r="165" spans="1:20" s="4" customFormat="1" ht="99.75" customHeight="1">
      <c r="A165" s="107">
        <v>1216020</v>
      </c>
      <c r="B165" s="96" t="s">
        <v>390</v>
      </c>
      <c r="C165" s="105" t="s">
        <v>64</v>
      </c>
      <c r="D165" s="55" t="s">
        <v>244</v>
      </c>
      <c r="E165" s="39"/>
      <c r="F165" s="110">
        <f t="shared" si="47"/>
        <v>16245947</v>
      </c>
      <c r="G165" s="110"/>
      <c r="H165" s="111"/>
      <c r="I165" s="111"/>
      <c r="J165" s="111">
        <f>8216000+100000+9000+26600+1950-1950+800000+1589250+200000+4175097+1130000</f>
        <v>16245947</v>
      </c>
      <c r="K165" s="110">
        <f t="shared" si="48"/>
        <v>0</v>
      </c>
      <c r="L165" s="110"/>
      <c r="M165" s="111"/>
      <c r="N165" s="110"/>
      <c r="O165" s="111"/>
      <c r="P165" s="111">
        <f>L165</f>
        <v>0</v>
      </c>
      <c r="Q165" s="110">
        <f t="shared" si="34"/>
        <v>16245947</v>
      </c>
      <c r="R165" s="70"/>
      <c r="S165" s="70"/>
      <c r="T165" s="69"/>
    </row>
    <row r="166" spans="1:20" s="4" customFormat="1" ht="51" customHeight="1">
      <c r="A166" s="96" t="s">
        <v>181</v>
      </c>
      <c r="B166" s="96" t="s">
        <v>391</v>
      </c>
      <c r="C166" s="96" t="s">
        <v>64</v>
      </c>
      <c r="D166" s="34" t="s">
        <v>182</v>
      </c>
      <c r="E166" s="39" t="s">
        <v>44</v>
      </c>
      <c r="F166" s="110">
        <f t="shared" si="47"/>
        <v>44177963</v>
      </c>
      <c r="G166" s="110">
        <f>25904300+1090000-381525+286525-178000-500000+400000+37000+265000+1011400+441000-1600000-138000-400000-100000-40000+901000</f>
        <v>26998700</v>
      </c>
      <c r="H166" s="111"/>
      <c r="I166" s="111">
        <f>8463000-40000</f>
        <v>8423000</v>
      </c>
      <c r="J166" s="111">
        <f>9250000+6000000+617098+744995+213600+353570</f>
        <v>17179263</v>
      </c>
      <c r="K166" s="110">
        <f t="shared" si="48"/>
        <v>2510000</v>
      </c>
      <c r="L166" s="110">
        <f>2000000+95000+178000+138000+99000</f>
        <v>2510000</v>
      </c>
      <c r="M166" s="111"/>
      <c r="N166" s="110"/>
      <c r="O166" s="111"/>
      <c r="P166" s="111">
        <f>L166</f>
        <v>2510000</v>
      </c>
      <c r="Q166" s="110">
        <f t="shared" si="34"/>
        <v>46687963</v>
      </c>
      <c r="R166" s="70"/>
      <c r="S166" s="70"/>
      <c r="T166" s="69"/>
    </row>
    <row r="167" spans="1:20" s="4" customFormat="1" ht="63.2" customHeight="1">
      <c r="A167" s="77">
        <v>1217130</v>
      </c>
      <c r="B167" s="96" t="s">
        <v>333</v>
      </c>
      <c r="C167" s="96" t="s">
        <v>66</v>
      </c>
      <c r="D167" s="44" t="s">
        <v>110</v>
      </c>
      <c r="E167" s="47"/>
      <c r="F167" s="110">
        <f t="shared" si="47"/>
        <v>75000</v>
      </c>
      <c r="G167" s="110">
        <f>75000</f>
        <v>75000</v>
      </c>
      <c r="H167" s="111"/>
      <c r="I167" s="111"/>
      <c r="J167" s="111">
        <v>0</v>
      </c>
      <c r="K167" s="110"/>
      <c r="L167" s="110"/>
      <c r="M167" s="111"/>
      <c r="N167" s="110"/>
      <c r="O167" s="111"/>
      <c r="P167" s="111"/>
      <c r="Q167" s="110">
        <f t="shared" si="34"/>
        <v>75000</v>
      </c>
      <c r="R167" s="70"/>
      <c r="S167" s="70"/>
      <c r="T167" s="69"/>
    </row>
    <row r="168" spans="1:20" s="15" customFormat="1" ht="75.2" customHeight="1">
      <c r="A168" s="77">
        <v>1217322</v>
      </c>
      <c r="B168" s="77">
        <v>7322</v>
      </c>
      <c r="C168" s="96" t="s">
        <v>79</v>
      </c>
      <c r="D168" s="39" t="s">
        <v>540</v>
      </c>
      <c r="E168" s="58"/>
      <c r="F168" s="117">
        <f t="shared" si="47"/>
        <v>0</v>
      </c>
      <c r="G168" s="110"/>
      <c r="H168" s="126"/>
      <c r="I168" s="126"/>
      <c r="J168" s="110"/>
      <c r="K168" s="110">
        <f t="shared" si="48"/>
        <v>0</v>
      </c>
      <c r="L168" s="110">
        <f>5000000-5000000</f>
        <v>0</v>
      </c>
      <c r="M168" s="110"/>
      <c r="N168" s="110"/>
      <c r="O168" s="110"/>
      <c r="P168" s="110">
        <f>L168</f>
        <v>0</v>
      </c>
      <c r="Q168" s="110">
        <f t="shared" si="34"/>
        <v>0</v>
      </c>
      <c r="R168" s="71"/>
      <c r="S168" s="71"/>
      <c r="T168" s="66"/>
    </row>
    <row r="169" spans="1:20" s="4" customFormat="1" ht="35.1" hidden="1" customHeight="1">
      <c r="A169" s="96" t="s">
        <v>241</v>
      </c>
      <c r="B169" s="96" t="s">
        <v>392</v>
      </c>
      <c r="C169" s="96"/>
      <c r="D169" s="57" t="s">
        <v>507</v>
      </c>
      <c r="E169" s="47" t="s">
        <v>13</v>
      </c>
      <c r="F169" s="110">
        <f t="shared" si="47"/>
        <v>0</v>
      </c>
      <c r="G169" s="110"/>
      <c r="H169" s="111"/>
      <c r="I169" s="111"/>
      <c r="J169" s="111"/>
      <c r="K169" s="110">
        <f t="shared" si="48"/>
        <v>0</v>
      </c>
      <c r="L169" s="110"/>
      <c r="M169" s="111"/>
      <c r="N169" s="110"/>
      <c r="O169" s="111"/>
      <c r="P169" s="111"/>
      <c r="Q169" s="110">
        <f t="shared" si="34"/>
        <v>0</v>
      </c>
      <c r="R169" s="70"/>
      <c r="S169" s="70"/>
      <c r="T169" s="69"/>
    </row>
    <row r="170" spans="1:20" s="4" customFormat="1" ht="3.2" hidden="1" customHeight="1">
      <c r="A170" s="96" t="s">
        <v>242</v>
      </c>
      <c r="B170" s="96" t="s">
        <v>393</v>
      </c>
      <c r="C170" s="96" t="s">
        <v>79</v>
      </c>
      <c r="D170" s="57" t="s">
        <v>508</v>
      </c>
      <c r="E170" s="47"/>
      <c r="F170" s="110">
        <f t="shared" si="47"/>
        <v>0</v>
      </c>
      <c r="G170" s="110"/>
      <c r="H170" s="111"/>
      <c r="I170" s="111"/>
      <c r="J170" s="111"/>
      <c r="K170" s="110">
        <f t="shared" si="48"/>
        <v>0</v>
      </c>
      <c r="L170" s="110"/>
      <c r="M170" s="111"/>
      <c r="N170" s="110"/>
      <c r="O170" s="111"/>
      <c r="P170" s="111"/>
      <c r="Q170" s="110">
        <f t="shared" si="34"/>
        <v>0</v>
      </c>
      <c r="R170" s="70"/>
      <c r="S170" s="70"/>
      <c r="T170" s="69"/>
    </row>
    <row r="171" spans="1:20" s="4" customFormat="1" ht="56.45" customHeight="1">
      <c r="A171" s="96" t="s">
        <v>243</v>
      </c>
      <c r="B171" s="96" t="s">
        <v>394</v>
      </c>
      <c r="C171" s="96" t="s">
        <v>79</v>
      </c>
      <c r="D171" s="43" t="s">
        <v>541</v>
      </c>
      <c r="E171" s="47"/>
      <c r="F171" s="110">
        <f t="shared" si="47"/>
        <v>0</v>
      </c>
      <c r="G171" s="110"/>
      <c r="H171" s="111"/>
      <c r="I171" s="111"/>
      <c r="J171" s="111"/>
      <c r="K171" s="110">
        <f t="shared" si="48"/>
        <v>7923900</v>
      </c>
      <c r="L171" s="110">
        <f>22630000+1000000+100000+70000+50000-2744995-2000000-3500000-4535005+20000+1600000-100000-120000-936100-3644000+34000</f>
        <v>7923900</v>
      </c>
      <c r="M171" s="111"/>
      <c r="N171" s="110"/>
      <c r="O171" s="111"/>
      <c r="P171" s="111">
        <f>L171</f>
        <v>7923900</v>
      </c>
      <c r="Q171" s="110">
        <f t="shared" si="34"/>
        <v>7923900</v>
      </c>
      <c r="R171" s="70"/>
      <c r="S171" s="70"/>
      <c r="T171" s="69"/>
    </row>
    <row r="172" spans="1:20" s="4" customFormat="1" ht="53.45" customHeight="1">
      <c r="A172" s="96" t="s">
        <v>257</v>
      </c>
      <c r="B172" s="96" t="s">
        <v>395</v>
      </c>
      <c r="C172" s="96" t="s">
        <v>79</v>
      </c>
      <c r="D172" s="43" t="s">
        <v>275</v>
      </c>
      <c r="E172" s="47"/>
      <c r="F172" s="110">
        <f t="shared" si="47"/>
        <v>0</v>
      </c>
      <c r="G172" s="110"/>
      <c r="H172" s="111"/>
      <c r="I172" s="111"/>
      <c r="J172" s="111"/>
      <c r="K172" s="110">
        <f t="shared" si="48"/>
        <v>0</v>
      </c>
      <c r="L172" s="110"/>
      <c r="M172" s="111"/>
      <c r="N172" s="110"/>
      <c r="O172" s="111"/>
      <c r="P172" s="111">
        <f>L172</f>
        <v>0</v>
      </c>
      <c r="Q172" s="110">
        <f t="shared" si="34"/>
        <v>0</v>
      </c>
      <c r="R172" s="70"/>
      <c r="S172" s="70"/>
      <c r="T172" s="69"/>
    </row>
    <row r="173" spans="1:20" s="4" customFormat="1" ht="31.9" hidden="1" customHeight="1">
      <c r="A173" s="96" t="s">
        <v>183</v>
      </c>
      <c r="B173" s="96" t="s">
        <v>396</v>
      </c>
      <c r="C173" s="96" t="s">
        <v>79</v>
      </c>
      <c r="D173" s="34" t="s">
        <v>184</v>
      </c>
      <c r="E173" s="39" t="s">
        <v>14</v>
      </c>
      <c r="F173" s="110">
        <f t="shared" si="47"/>
        <v>0</v>
      </c>
      <c r="G173" s="110"/>
      <c r="H173" s="111"/>
      <c r="I173" s="111"/>
      <c r="J173" s="111"/>
      <c r="K173" s="110">
        <f t="shared" si="48"/>
        <v>0</v>
      </c>
      <c r="L173" s="110"/>
      <c r="M173" s="111"/>
      <c r="N173" s="110"/>
      <c r="O173" s="111"/>
      <c r="P173" s="111">
        <f t="shared" ref="P173:P176" si="49">L173</f>
        <v>0</v>
      </c>
      <c r="Q173" s="110">
        <f t="shared" si="34"/>
        <v>0</v>
      </c>
      <c r="R173" s="70"/>
      <c r="S173" s="70"/>
      <c r="T173" s="69"/>
    </row>
    <row r="174" spans="1:20" s="4" customFormat="1" ht="48.75" hidden="1" customHeight="1">
      <c r="A174" s="96" t="s">
        <v>251</v>
      </c>
      <c r="B174" s="96" t="s">
        <v>397</v>
      </c>
      <c r="C174" s="96" t="s">
        <v>196</v>
      </c>
      <c r="D174" s="43" t="s">
        <v>252</v>
      </c>
      <c r="E174" s="39"/>
      <c r="F174" s="110">
        <f t="shared" si="47"/>
        <v>0</v>
      </c>
      <c r="G174" s="110"/>
      <c r="H174" s="111"/>
      <c r="I174" s="111"/>
      <c r="J174" s="111"/>
      <c r="K174" s="110">
        <f t="shared" si="48"/>
        <v>0</v>
      </c>
      <c r="L174" s="110"/>
      <c r="M174" s="111"/>
      <c r="N174" s="110"/>
      <c r="O174" s="111"/>
      <c r="P174" s="111">
        <f t="shared" si="49"/>
        <v>0</v>
      </c>
      <c r="Q174" s="110">
        <f t="shared" si="34"/>
        <v>0</v>
      </c>
      <c r="R174" s="70"/>
      <c r="S174" s="70"/>
      <c r="T174" s="69"/>
    </row>
    <row r="175" spans="1:20" s="4" customFormat="1" ht="48.75" hidden="1" customHeight="1">
      <c r="A175" s="96" t="s">
        <v>296</v>
      </c>
      <c r="B175" s="96" t="s">
        <v>398</v>
      </c>
      <c r="C175" s="96" t="s">
        <v>196</v>
      </c>
      <c r="D175" s="43" t="s">
        <v>297</v>
      </c>
      <c r="E175" s="39"/>
      <c r="F175" s="110">
        <f t="shared" si="47"/>
        <v>0</v>
      </c>
      <c r="G175" s="110"/>
      <c r="H175" s="111"/>
      <c r="I175" s="111"/>
      <c r="J175" s="111"/>
      <c r="K175" s="110">
        <f t="shared" si="48"/>
        <v>0</v>
      </c>
      <c r="L175" s="110"/>
      <c r="M175" s="111"/>
      <c r="N175" s="110"/>
      <c r="O175" s="111"/>
      <c r="P175" s="111">
        <f t="shared" si="49"/>
        <v>0</v>
      </c>
      <c r="Q175" s="110">
        <f t="shared" si="34"/>
        <v>0</v>
      </c>
      <c r="R175" s="70"/>
      <c r="S175" s="70"/>
      <c r="T175" s="69"/>
    </row>
    <row r="176" spans="1:20" s="4" customFormat="1" ht="48.75" hidden="1" customHeight="1">
      <c r="A176" s="96" t="s">
        <v>254</v>
      </c>
      <c r="B176" s="96" t="s">
        <v>334</v>
      </c>
      <c r="C176" s="96" t="s">
        <v>196</v>
      </c>
      <c r="D176" s="43" t="s">
        <v>255</v>
      </c>
      <c r="E176" s="39"/>
      <c r="F176" s="110">
        <f t="shared" si="47"/>
        <v>0</v>
      </c>
      <c r="G176" s="110"/>
      <c r="H176" s="111"/>
      <c r="I176" s="111"/>
      <c r="J176" s="111"/>
      <c r="K176" s="110">
        <f t="shared" si="48"/>
        <v>0</v>
      </c>
      <c r="L176" s="110"/>
      <c r="M176" s="111"/>
      <c r="N176" s="110"/>
      <c r="O176" s="111"/>
      <c r="P176" s="111">
        <f t="shared" si="49"/>
        <v>0</v>
      </c>
      <c r="Q176" s="110">
        <f t="shared" si="34"/>
        <v>0</v>
      </c>
      <c r="R176" s="70"/>
      <c r="S176" s="70"/>
      <c r="T176" s="69"/>
    </row>
    <row r="177" spans="1:20" s="4" customFormat="1" ht="66.2" customHeight="1">
      <c r="A177" s="96" t="s">
        <v>183</v>
      </c>
      <c r="B177" s="96" t="s">
        <v>396</v>
      </c>
      <c r="C177" s="96" t="s">
        <v>79</v>
      </c>
      <c r="D177" s="43" t="s">
        <v>407</v>
      </c>
      <c r="E177" s="39"/>
      <c r="F177" s="110">
        <f t="shared" si="47"/>
        <v>0</v>
      </c>
      <c r="G177" s="110">
        <f>300000-72377-227623</f>
        <v>0</v>
      </c>
      <c r="H177" s="111"/>
      <c r="I177" s="111"/>
      <c r="J177" s="111"/>
      <c r="K177" s="110"/>
      <c r="L177" s="110"/>
      <c r="M177" s="111"/>
      <c r="N177" s="110"/>
      <c r="O177" s="111"/>
      <c r="P177" s="111">
        <f t="shared" ref="P177:P182" si="50">L177</f>
        <v>0</v>
      </c>
      <c r="Q177" s="110">
        <f t="shared" si="34"/>
        <v>0</v>
      </c>
      <c r="R177" s="70"/>
      <c r="S177" s="70"/>
      <c r="T177" s="69"/>
    </row>
    <row r="178" spans="1:20" s="4" customFormat="1" ht="105.6" customHeight="1">
      <c r="A178" s="96" t="s">
        <v>447</v>
      </c>
      <c r="B178" s="96" t="s">
        <v>448</v>
      </c>
      <c r="C178" s="96" t="s">
        <v>196</v>
      </c>
      <c r="D178" s="43" t="s">
        <v>449</v>
      </c>
      <c r="E178" s="39"/>
      <c r="F178" s="110">
        <f t="shared" si="47"/>
        <v>0</v>
      </c>
      <c r="G178" s="110"/>
      <c r="H178" s="111"/>
      <c r="I178" s="111"/>
      <c r="J178" s="111"/>
      <c r="K178" s="110">
        <f>M178+P178</f>
        <v>0</v>
      </c>
      <c r="L178" s="110"/>
      <c r="M178" s="111"/>
      <c r="N178" s="110"/>
      <c r="O178" s="111"/>
      <c r="P178" s="111">
        <f t="shared" si="50"/>
        <v>0</v>
      </c>
      <c r="Q178" s="110">
        <f t="shared" si="34"/>
        <v>0</v>
      </c>
      <c r="R178" s="70"/>
      <c r="S178" s="70"/>
      <c r="T178" s="69"/>
    </row>
    <row r="179" spans="1:20" s="4" customFormat="1" ht="78" customHeight="1">
      <c r="A179" s="96" t="s">
        <v>250</v>
      </c>
      <c r="B179" s="96" t="s">
        <v>399</v>
      </c>
      <c r="C179" s="96" t="s">
        <v>238</v>
      </c>
      <c r="D179" s="57" t="s">
        <v>249</v>
      </c>
      <c r="E179" s="39"/>
      <c r="F179" s="110">
        <f t="shared" si="47"/>
        <v>38561000</v>
      </c>
      <c r="G179" s="110">
        <f>29940000+2650000+71000+5500000+400000</f>
        <v>38561000</v>
      </c>
      <c r="H179" s="111"/>
      <c r="I179" s="111"/>
      <c r="J179" s="111"/>
      <c r="K179" s="110">
        <f t="shared" si="48"/>
        <v>8580861</v>
      </c>
      <c r="L179" s="110">
        <f>7350000+100000+100000+427000+1189825-1400000+3650997+140000-2976961</f>
        <v>8580861</v>
      </c>
      <c r="M179" s="111"/>
      <c r="N179" s="110"/>
      <c r="O179" s="111"/>
      <c r="P179" s="111">
        <f t="shared" si="50"/>
        <v>8580861</v>
      </c>
      <c r="Q179" s="110">
        <f t="shared" si="34"/>
        <v>47141861</v>
      </c>
      <c r="R179" s="70"/>
      <c r="S179" s="70"/>
      <c r="T179" s="69"/>
    </row>
    <row r="180" spans="1:20" s="4" customFormat="1" ht="50.45" customHeight="1">
      <c r="A180" s="96" t="s">
        <v>422</v>
      </c>
      <c r="B180" s="96" t="s">
        <v>409</v>
      </c>
      <c r="C180" s="96" t="s">
        <v>410</v>
      </c>
      <c r="D180" s="34" t="s">
        <v>411</v>
      </c>
      <c r="E180" s="47"/>
      <c r="F180" s="110">
        <f t="shared" si="47"/>
        <v>35000</v>
      </c>
      <c r="G180" s="113">
        <f>35000</f>
        <v>35000</v>
      </c>
      <c r="H180" s="114"/>
      <c r="I180" s="114"/>
      <c r="J180" s="114"/>
      <c r="K180" s="110">
        <f t="shared" si="48"/>
        <v>0</v>
      </c>
      <c r="L180" s="113"/>
      <c r="M180" s="113"/>
      <c r="N180" s="113"/>
      <c r="O180" s="114"/>
      <c r="P180" s="114">
        <f t="shared" si="50"/>
        <v>0</v>
      </c>
      <c r="Q180" s="110">
        <f>F180+K180</f>
        <v>35000</v>
      </c>
      <c r="R180" s="70"/>
      <c r="S180" s="70"/>
      <c r="T180" s="69"/>
    </row>
    <row r="181" spans="1:20" s="4" customFormat="1" ht="42" customHeight="1">
      <c r="A181" s="96" t="s">
        <v>423</v>
      </c>
      <c r="B181" s="96" t="s">
        <v>336</v>
      </c>
      <c r="C181" s="96" t="s">
        <v>82</v>
      </c>
      <c r="D181" s="46" t="s">
        <v>133</v>
      </c>
      <c r="E181" s="39"/>
      <c r="F181" s="110">
        <f t="shared" si="47"/>
        <v>475614</v>
      </c>
      <c r="G181" s="110">
        <f>340514+35100</f>
        <v>375614</v>
      </c>
      <c r="H181" s="111"/>
      <c r="I181" s="111"/>
      <c r="J181" s="111">
        <v>100000</v>
      </c>
      <c r="K181" s="110">
        <f t="shared" si="48"/>
        <v>20000</v>
      </c>
      <c r="L181" s="110">
        <v>20000</v>
      </c>
      <c r="M181" s="111"/>
      <c r="N181" s="110"/>
      <c r="O181" s="111"/>
      <c r="P181" s="111">
        <f t="shared" si="50"/>
        <v>20000</v>
      </c>
      <c r="Q181" s="110">
        <f t="shared" si="34"/>
        <v>495614</v>
      </c>
      <c r="R181" s="70"/>
      <c r="S181" s="70"/>
      <c r="T181" s="69"/>
    </row>
    <row r="182" spans="1:20" s="4" customFormat="1" ht="55.9" customHeight="1">
      <c r="A182" s="96" t="s">
        <v>235</v>
      </c>
      <c r="B182" s="96" t="s">
        <v>337</v>
      </c>
      <c r="C182" s="139" t="s">
        <v>196</v>
      </c>
      <c r="D182" s="140" t="s">
        <v>276</v>
      </c>
      <c r="E182" s="47"/>
      <c r="F182" s="110">
        <f t="shared" si="47"/>
        <v>0</v>
      </c>
      <c r="G182" s="110"/>
      <c r="H182" s="111"/>
      <c r="I182" s="111"/>
      <c r="J182" s="111">
        <v>0</v>
      </c>
      <c r="K182" s="110">
        <f>M182+P182</f>
        <v>7741430</v>
      </c>
      <c r="L182" s="110">
        <f>11000000+48000+600000+84400+1950+101130+1720800-6200000+385150</f>
        <v>7741430</v>
      </c>
      <c r="M182" s="111"/>
      <c r="N182" s="110"/>
      <c r="O182" s="111"/>
      <c r="P182" s="111">
        <f t="shared" si="50"/>
        <v>7741430</v>
      </c>
      <c r="Q182" s="110">
        <f>F182+K182</f>
        <v>7741430</v>
      </c>
      <c r="R182" s="70"/>
      <c r="S182" s="70"/>
      <c r="T182" s="69"/>
    </row>
    <row r="183" spans="1:20" s="4" customFormat="1" ht="53.45" customHeight="1" thickBot="1">
      <c r="A183" s="96" t="s">
        <v>435</v>
      </c>
      <c r="B183" s="96" t="s">
        <v>436</v>
      </c>
      <c r="C183" s="96" t="s">
        <v>196</v>
      </c>
      <c r="D183" s="142" t="s">
        <v>437</v>
      </c>
      <c r="E183" s="39"/>
      <c r="F183" s="110">
        <f>G183+J183</f>
        <v>98000</v>
      </c>
      <c r="G183" s="110"/>
      <c r="H183" s="111"/>
      <c r="I183" s="111"/>
      <c r="J183" s="111">
        <f>49000+49000</f>
        <v>98000</v>
      </c>
      <c r="K183" s="110">
        <f t="shared" ref="K183:K184" si="51">M183+P183</f>
        <v>0</v>
      </c>
      <c r="L183" s="110"/>
      <c r="M183" s="111"/>
      <c r="N183" s="110"/>
      <c r="O183" s="111"/>
      <c r="P183" s="111"/>
      <c r="Q183" s="110">
        <f>F183+K183</f>
        <v>98000</v>
      </c>
      <c r="R183" s="70"/>
      <c r="S183" s="70"/>
      <c r="T183" s="69"/>
    </row>
    <row r="184" spans="1:20" s="4" customFormat="1" ht="95.85" customHeight="1" thickBot="1">
      <c r="A184" s="96" t="s">
        <v>568</v>
      </c>
      <c r="B184" s="96" t="s">
        <v>569</v>
      </c>
      <c r="C184" s="139" t="s">
        <v>68</v>
      </c>
      <c r="D184" s="143" t="s">
        <v>570</v>
      </c>
      <c r="E184" s="141"/>
      <c r="F184" s="110">
        <f>G184+J184</f>
        <v>0</v>
      </c>
      <c r="G184" s="110"/>
      <c r="H184" s="111"/>
      <c r="I184" s="111"/>
      <c r="J184" s="111"/>
      <c r="K184" s="110">
        <f t="shared" si="51"/>
        <v>3700000</v>
      </c>
      <c r="L184" s="110"/>
      <c r="M184" s="111"/>
      <c r="N184" s="110"/>
      <c r="O184" s="111"/>
      <c r="P184" s="111">
        <v>3700000</v>
      </c>
      <c r="Q184" s="110">
        <f>F184+K184</f>
        <v>3700000</v>
      </c>
      <c r="R184" s="70"/>
      <c r="S184" s="70"/>
      <c r="T184" s="69"/>
    </row>
    <row r="185" spans="1:20" s="4" customFormat="1" ht="73.349999999999994" customHeight="1">
      <c r="A185" s="96" t="s">
        <v>185</v>
      </c>
      <c r="B185" s="96" t="s">
        <v>339</v>
      </c>
      <c r="C185" s="96" t="s">
        <v>67</v>
      </c>
      <c r="D185" s="52" t="s">
        <v>219</v>
      </c>
      <c r="E185" s="39" t="s">
        <v>37</v>
      </c>
      <c r="F185" s="110">
        <f t="shared" si="47"/>
        <v>5452000</v>
      </c>
      <c r="G185" s="110">
        <f>2000000+500000+1598000-500000+854000-1000000+2000000</f>
        <v>5452000</v>
      </c>
      <c r="H185" s="111"/>
      <c r="I185" s="111"/>
      <c r="J185" s="111"/>
      <c r="K185" s="110">
        <f t="shared" si="48"/>
        <v>6676961</v>
      </c>
      <c r="L185" s="110">
        <f>1000000+700000+200000+80000+120000+4576961</f>
        <v>6676961</v>
      </c>
      <c r="M185" s="111"/>
      <c r="N185" s="110"/>
      <c r="O185" s="111"/>
      <c r="P185" s="111">
        <f>L185</f>
        <v>6676961</v>
      </c>
      <c r="Q185" s="110">
        <f>F185+K185</f>
        <v>12128961</v>
      </c>
      <c r="R185" s="70"/>
      <c r="S185" s="70"/>
      <c r="T185" s="69"/>
    </row>
    <row r="186" spans="1:20" s="4" customFormat="1" ht="51.6" customHeight="1">
      <c r="A186" s="96" t="s">
        <v>186</v>
      </c>
      <c r="B186" s="96" t="s">
        <v>345</v>
      </c>
      <c r="C186" s="96" t="s">
        <v>67</v>
      </c>
      <c r="D186" s="34" t="s">
        <v>187</v>
      </c>
      <c r="E186" s="39" t="s">
        <v>18</v>
      </c>
      <c r="F186" s="110">
        <f t="shared" si="47"/>
        <v>0</v>
      </c>
      <c r="G186" s="110"/>
      <c r="H186" s="111"/>
      <c r="I186" s="111"/>
      <c r="J186" s="111"/>
      <c r="K186" s="110">
        <f t="shared" si="48"/>
        <v>0</v>
      </c>
      <c r="L186" s="110"/>
      <c r="M186" s="111"/>
      <c r="N186" s="110"/>
      <c r="O186" s="111"/>
      <c r="P186" s="111"/>
      <c r="Q186" s="110">
        <f t="shared" si="34"/>
        <v>0</v>
      </c>
      <c r="R186" s="70"/>
      <c r="S186" s="70"/>
      <c r="T186" s="69"/>
    </row>
    <row r="187" spans="1:20" s="4" customFormat="1" ht="62.45" customHeight="1">
      <c r="A187" s="98" t="s">
        <v>424</v>
      </c>
      <c r="B187" s="98" t="s">
        <v>413</v>
      </c>
      <c r="C187" s="98" t="s">
        <v>414</v>
      </c>
      <c r="D187" s="46" t="s">
        <v>415</v>
      </c>
      <c r="E187" s="39" t="s">
        <v>4</v>
      </c>
      <c r="F187" s="113">
        <f t="shared" si="47"/>
        <v>0</v>
      </c>
      <c r="G187" s="113">
        <v>0</v>
      </c>
      <c r="H187" s="114"/>
      <c r="I187" s="114"/>
      <c r="J187" s="114"/>
      <c r="K187" s="110">
        <f t="shared" si="48"/>
        <v>0</v>
      </c>
      <c r="L187" s="113"/>
      <c r="M187" s="113"/>
      <c r="N187" s="113"/>
      <c r="O187" s="114"/>
      <c r="P187" s="114"/>
      <c r="Q187" s="110">
        <f t="shared" si="34"/>
        <v>0</v>
      </c>
      <c r="R187" s="70"/>
      <c r="S187" s="70"/>
      <c r="T187" s="69"/>
    </row>
    <row r="188" spans="1:20" s="4" customFormat="1" ht="62.45" customHeight="1">
      <c r="A188" s="96" t="s">
        <v>556</v>
      </c>
      <c r="B188" s="96" t="s">
        <v>527</v>
      </c>
      <c r="C188" s="96" t="s">
        <v>528</v>
      </c>
      <c r="D188" s="44" t="s">
        <v>529</v>
      </c>
      <c r="E188" s="39"/>
      <c r="F188" s="113">
        <f t="shared" si="47"/>
        <v>761000</v>
      </c>
      <c r="G188" s="113">
        <f>2000000-354000+15000-900000</f>
        <v>761000</v>
      </c>
      <c r="H188" s="114"/>
      <c r="I188" s="114"/>
      <c r="J188" s="114"/>
      <c r="K188" s="110">
        <f t="shared" si="48"/>
        <v>0</v>
      </c>
      <c r="L188" s="113"/>
      <c r="M188" s="113"/>
      <c r="N188" s="113"/>
      <c r="O188" s="114"/>
      <c r="P188" s="114"/>
      <c r="Q188" s="110">
        <f t="shared" si="34"/>
        <v>761000</v>
      </c>
      <c r="R188" s="70"/>
      <c r="S188" s="70"/>
      <c r="T188" s="69"/>
    </row>
    <row r="189" spans="1:20" s="4" customFormat="1" ht="62.45" customHeight="1">
      <c r="A189" s="96" t="s">
        <v>194</v>
      </c>
      <c r="B189" s="96" t="s">
        <v>400</v>
      </c>
      <c r="C189" s="96" t="s">
        <v>188</v>
      </c>
      <c r="D189" s="34" t="s">
        <v>195</v>
      </c>
      <c r="E189" s="39" t="s">
        <v>52</v>
      </c>
      <c r="F189" s="110">
        <f t="shared" si="47"/>
        <v>0</v>
      </c>
      <c r="G189" s="110"/>
      <c r="H189" s="111"/>
      <c r="I189" s="111"/>
      <c r="J189" s="111"/>
      <c r="K189" s="110">
        <f t="shared" si="48"/>
        <v>848685</v>
      </c>
      <c r="L189" s="110">
        <v>0</v>
      </c>
      <c r="M189" s="111">
        <f>412300+436385</f>
        <v>848685</v>
      </c>
      <c r="N189" s="110"/>
      <c r="O189" s="111"/>
      <c r="P189" s="111"/>
      <c r="Q189" s="110">
        <f t="shared" si="34"/>
        <v>848685</v>
      </c>
      <c r="R189" s="70"/>
      <c r="S189" s="70"/>
      <c r="T189" s="69"/>
    </row>
    <row r="190" spans="1:20" s="4" customFormat="1" ht="62.45" customHeight="1">
      <c r="A190" s="96" t="s">
        <v>438</v>
      </c>
      <c r="B190" s="96" t="s">
        <v>439</v>
      </c>
      <c r="C190" s="96" t="s">
        <v>440</v>
      </c>
      <c r="D190" s="34" t="s">
        <v>441</v>
      </c>
      <c r="E190" s="39"/>
      <c r="F190" s="110">
        <f t="shared" si="47"/>
        <v>0</v>
      </c>
      <c r="G190" s="110"/>
      <c r="H190" s="111"/>
      <c r="I190" s="111"/>
      <c r="J190" s="111"/>
      <c r="K190" s="110">
        <f t="shared" si="48"/>
        <v>510000</v>
      </c>
      <c r="L190" s="110"/>
      <c r="M190" s="111"/>
      <c r="N190" s="110"/>
      <c r="O190" s="111"/>
      <c r="P190" s="111">
        <v>510000</v>
      </c>
      <c r="Q190" s="110">
        <f t="shared" si="34"/>
        <v>510000</v>
      </c>
      <c r="R190" s="70"/>
      <c r="S190" s="70"/>
      <c r="T190" s="69"/>
    </row>
    <row r="191" spans="1:20" s="4" customFormat="1" ht="80.099999999999994" customHeight="1">
      <c r="A191" s="83" t="s">
        <v>304</v>
      </c>
      <c r="B191" s="93">
        <v>3100000</v>
      </c>
      <c r="C191" s="83"/>
      <c r="D191" s="94" t="s">
        <v>432</v>
      </c>
      <c r="E191" s="87"/>
      <c r="F191" s="86">
        <f>F192</f>
        <v>5931700</v>
      </c>
      <c r="G191" s="86">
        <f t="shared" ref="G191:P191" si="52">G192</f>
        <v>5931700</v>
      </c>
      <c r="H191" s="86">
        <f t="shared" si="52"/>
        <v>3388500</v>
      </c>
      <c r="I191" s="86">
        <f t="shared" si="52"/>
        <v>333540</v>
      </c>
      <c r="J191" s="86">
        <f t="shared" si="52"/>
        <v>0</v>
      </c>
      <c r="K191" s="86">
        <f t="shared" si="52"/>
        <v>122025</v>
      </c>
      <c r="L191" s="86">
        <f t="shared" si="52"/>
        <v>122025</v>
      </c>
      <c r="M191" s="86">
        <f t="shared" si="52"/>
        <v>0</v>
      </c>
      <c r="N191" s="86">
        <f t="shared" si="52"/>
        <v>0</v>
      </c>
      <c r="O191" s="86">
        <f t="shared" si="52"/>
        <v>0</v>
      </c>
      <c r="P191" s="86">
        <f t="shared" si="52"/>
        <v>122025</v>
      </c>
      <c r="Q191" s="86">
        <f>F191+K191</f>
        <v>6053725</v>
      </c>
      <c r="R191" s="70"/>
      <c r="S191" s="70"/>
      <c r="T191" s="69"/>
    </row>
    <row r="192" spans="1:20" s="4" customFormat="1" ht="59.1" customHeight="1">
      <c r="A192" s="101" t="s">
        <v>305</v>
      </c>
      <c r="B192" s="108">
        <v>3110000</v>
      </c>
      <c r="C192" s="101"/>
      <c r="D192" s="135" t="str">
        <f>D191</f>
        <v>Управління комунального майна  та земельних відносин</v>
      </c>
      <c r="E192" s="37"/>
      <c r="F192" s="110">
        <f t="shared" ref="F192:P192" si="53">SUM(F193:F199)</f>
        <v>5931700</v>
      </c>
      <c r="G192" s="110">
        <f t="shared" si="53"/>
        <v>5931700</v>
      </c>
      <c r="H192" s="110">
        <f t="shared" si="53"/>
        <v>3388500</v>
      </c>
      <c r="I192" s="110">
        <f t="shared" si="53"/>
        <v>333540</v>
      </c>
      <c r="J192" s="110">
        <f t="shared" si="53"/>
        <v>0</v>
      </c>
      <c r="K192" s="110">
        <f t="shared" si="53"/>
        <v>122025</v>
      </c>
      <c r="L192" s="110">
        <f t="shared" si="53"/>
        <v>122025</v>
      </c>
      <c r="M192" s="110">
        <f t="shared" si="53"/>
        <v>0</v>
      </c>
      <c r="N192" s="110">
        <f t="shared" si="53"/>
        <v>0</v>
      </c>
      <c r="O192" s="110">
        <f t="shared" si="53"/>
        <v>0</v>
      </c>
      <c r="P192" s="110">
        <f t="shared" si="53"/>
        <v>122025</v>
      </c>
      <c r="Q192" s="110">
        <f t="shared" ref="Q192:Q206" si="54">F192+K192</f>
        <v>6053725</v>
      </c>
      <c r="R192" s="70"/>
      <c r="S192" s="70"/>
      <c r="T192" s="69"/>
    </row>
    <row r="193" spans="1:20" s="4" customFormat="1" ht="73.900000000000006" customHeight="1">
      <c r="A193" s="96" t="s">
        <v>306</v>
      </c>
      <c r="B193" s="96" t="s">
        <v>316</v>
      </c>
      <c r="C193" s="96" t="s">
        <v>57</v>
      </c>
      <c r="D193" s="42" t="s">
        <v>454</v>
      </c>
      <c r="E193" s="39"/>
      <c r="F193" s="110">
        <f>G193</f>
        <v>4717870</v>
      </c>
      <c r="G193" s="110">
        <f>4025000+450000+11870+80000+51000+50000+50000</f>
        <v>4717870</v>
      </c>
      <c r="H193" s="111">
        <f>2998500+350000+40000</f>
        <v>3388500</v>
      </c>
      <c r="I193" s="111">
        <f>253540+80000</f>
        <v>333540</v>
      </c>
      <c r="J193" s="111"/>
      <c r="K193" s="110">
        <f t="shared" ref="K193:K199" si="55">M193+P193</f>
        <v>30000</v>
      </c>
      <c r="L193" s="110">
        <v>30000</v>
      </c>
      <c r="M193" s="111"/>
      <c r="N193" s="110"/>
      <c r="O193" s="111"/>
      <c r="P193" s="111">
        <f>L193</f>
        <v>30000</v>
      </c>
      <c r="Q193" s="110">
        <f t="shared" si="54"/>
        <v>4747870</v>
      </c>
      <c r="R193" s="70"/>
      <c r="S193" s="70"/>
      <c r="T193" s="69"/>
    </row>
    <row r="194" spans="1:20" s="4" customFormat="1" ht="47.1" customHeight="1">
      <c r="A194" s="96" t="s">
        <v>307</v>
      </c>
      <c r="B194" s="96" t="s">
        <v>256</v>
      </c>
      <c r="C194" s="96" t="s">
        <v>68</v>
      </c>
      <c r="D194" s="42" t="s">
        <v>131</v>
      </c>
      <c r="E194" s="39"/>
      <c r="F194" s="110">
        <f>G194</f>
        <v>429910</v>
      </c>
      <c r="G194" s="110">
        <f>30000+60000+170410+100000+69500</f>
        <v>429910</v>
      </c>
      <c r="H194" s="111"/>
      <c r="I194" s="111"/>
      <c r="J194" s="111"/>
      <c r="K194" s="110">
        <f t="shared" si="55"/>
        <v>0</v>
      </c>
      <c r="L194" s="110"/>
      <c r="M194" s="111"/>
      <c r="N194" s="110"/>
      <c r="O194" s="111"/>
      <c r="P194" s="111"/>
      <c r="Q194" s="110">
        <f t="shared" si="54"/>
        <v>429910</v>
      </c>
      <c r="R194" s="70"/>
      <c r="S194" s="70"/>
      <c r="T194" s="69"/>
    </row>
    <row r="195" spans="1:20" s="4" customFormat="1" ht="36" customHeight="1">
      <c r="A195" s="96" t="s">
        <v>308</v>
      </c>
      <c r="B195" s="96" t="s">
        <v>333</v>
      </c>
      <c r="C195" s="96" t="s">
        <v>66</v>
      </c>
      <c r="D195" s="56" t="s">
        <v>110</v>
      </c>
      <c r="E195" s="39"/>
      <c r="F195" s="110">
        <f>G195</f>
        <v>720350</v>
      </c>
      <c r="G195" s="110">
        <f>495000+225350</f>
        <v>720350</v>
      </c>
      <c r="H195" s="111"/>
      <c r="I195" s="111"/>
      <c r="J195" s="111"/>
      <c r="K195" s="110">
        <f t="shared" si="55"/>
        <v>0</v>
      </c>
      <c r="L195" s="110"/>
      <c r="M195" s="111"/>
      <c r="N195" s="110"/>
      <c r="O195" s="111"/>
      <c r="P195" s="111"/>
      <c r="Q195" s="110">
        <f t="shared" si="54"/>
        <v>720350</v>
      </c>
      <c r="R195" s="70"/>
      <c r="S195" s="70"/>
      <c r="T195" s="69"/>
    </row>
    <row r="196" spans="1:20" s="4" customFormat="1" ht="52.35" customHeight="1">
      <c r="A196" s="96" t="s">
        <v>425</v>
      </c>
      <c r="B196" s="96" t="s">
        <v>409</v>
      </c>
      <c r="C196" s="96" t="s">
        <v>410</v>
      </c>
      <c r="D196" s="34" t="s">
        <v>411</v>
      </c>
      <c r="E196" s="39"/>
      <c r="F196" s="110">
        <f>G196+J196</f>
        <v>63570</v>
      </c>
      <c r="G196" s="110">
        <f>50000+3570+10000</f>
        <v>63570</v>
      </c>
      <c r="H196" s="111"/>
      <c r="I196" s="111"/>
      <c r="J196" s="111"/>
      <c r="K196" s="110">
        <f>M196+P196</f>
        <v>41000</v>
      </c>
      <c r="L196" s="110">
        <f>18000+23000</f>
        <v>41000</v>
      </c>
      <c r="M196" s="110"/>
      <c r="N196" s="110"/>
      <c r="O196" s="111"/>
      <c r="P196" s="111">
        <f>L196</f>
        <v>41000</v>
      </c>
      <c r="Q196" s="110">
        <f>F196+K196</f>
        <v>104570</v>
      </c>
      <c r="R196" s="70"/>
      <c r="S196" s="70"/>
      <c r="T196" s="69"/>
    </row>
    <row r="197" spans="1:20" s="4" customFormat="1" ht="45.2" customHeight="1">
      <c r="A197" s="96" t="s">
        <v>309</v>
      </c>
      <c r="B197" s="96" t="s">
        <v>401</v>
      </c>
      <c r="C197" s="96" t="s">
        <v>196</v>
      </c>
      <c r="D197" s="44" t="s">
        <v>245</v>
      </c>
      <c r="E197" s="39"/>
      <c r="F197" s="110">
        <f>G197</f>
        <v>0</v>
      </c>
      <c r="G197" s="110">
        <v>0</v>
      </c>
      <c r="H197" s="111"/>
      <c r="I197" s="111"/>
      <c r="J197" s="111"/>
      <c r="K197" s="110">
        <f t="shared" si="55"/>
        <v>42575</v>
      </c>
      <c r="L197" s="110">
        <f>39000+3575</f>
        <v>42575</v>
      </c>
      <c r="M197" s="111"/>
      <c r="N197" s="110"/>
      <c r="O197" s="111"/>
      <c r="P197" s="111">
        <f>L197</f>
        <v>42575</v>
      </c>
      <c r="Q197" s="110">
        <f t="shared" si="54"/>
        <v>42575</v>
      </c>
      <c r="R197" s="70"/>
      <c r="S197" s="70"/>
      <c r="T197" s="69"/>
    </row>
    <row r="198" spans="1:20" s="4" customFormat="1" ht="119.45" customHeight="1">
      <c r="A198" s="96" t="s">
        <v>310</v>
      </c>
      <c r="B198" s="96" t="s">
        <v>402</v>
      </c>
      <c r="C198" s="96" t="s">
        <v>196</v>
      </c>
      <c r="D198" s="63" t="s">
        <v>237</v>
      </c>
      <c r="E198" s="39"/>
      <c r="F198" s="110">
        <f>G198</f>
        <v>0</v>
      </c>
      <c r="G198" s="110"/>
      <c r="H198" s="111"/>
      <c r="I198" s="111"/>
      <c r="J198" s="111"/>
      <c r="K198" s="110">
        <f t="shared" si="55"/>
        <v>8450</v>
      </c>
      <c r="L198" s="110">
        <v>8450</v>
      </c>
      <c r="M198" s="111"/>
      <c r="N198" s="110"/>
      <c r="O198" s="111"/>
      <c r="P198" s="111">
        <f>L198</f>
        <v>8450</v>
      </c>
      <c r="Q198" s="110">
        <f t="shared" si="54"/>
        <v>8450</v>
      </c>
      <c r="R198" s="70"/>
      <c r="S198" s="70"/>
      <c r="T198" s="69"/>
    </row>
    <row r="199" spans="1:20" s="4" customFormat="1" ht="81.75" hidden="1" customHeight="1">
      <c r="A199" s="96" t="s">
        <v>310</v>
      </c>
      <c r="B199" s="96" t="s">
        <v>402</v>
      </c>
      <c r="C199" s="96" t="s">
        <v>196</v>
      </c>
      <c r="D199" s="34" t="s">
        <v>237</v>
      </c>
      <c r="E199" s="3"/>
      <c r="F199" s="110">
        <f>G199</f>
        <v>0</v>
      </c>
      <c r="G199" s="110"/>
      <c r="H199" s="111"/>
      <c r="I199" s="111"/>
      <c r="J199" s="111"/>
      <c r="K199" s="110">
        <f t="shared" si="55"/>
        <v>0</v>
      </c>
      <c r="L199" s="110"/>
      <c r="M199" s="111"/>
      <c r="N199" s="110"/>
      <c r="O199" s="111"/>
      <c r="P199" s="111">
        <f>L199</f>
        <v>0</v>
      </c>
      <c r="Q199" s="110">
        <f t="shared" si="54"/>
        <v>0</v>
      </c>
      <c r="R199" s="70"/>
      <c r="S199" s="70"/>
      <c r="T199" s="69"/>
    </row>
    <row r="200" spans="1:20" s="15" customFormat="1" ht="69" customHeight="1">
      <c r="A200" s="83" t="s">
        <v>189</v>
      </c>
      <c r="B200" s="95">
        <v>3700000</v>
      </c>
      <c r="C200" s="87"/>
      <c r="D200" s="88" t="s">
        <v>5</v>
      </c>
      <c r="E200" s="87" t="s">
        <v>5</v>
      </c>
      <c r="F200" s="91">
        <f>F201</f>
        <v>56143613.620000005</v>
      </c>
      <c r="G200" s="91">
        <f t="shared" ref="G200:P200" si="56">G201</f>
        <v>34618035.590000004</v>
      </c>
      <c r="H200" s="91">
        <f t="shared" si="56"/>
        <v>7365700</v>
      </c>
      <c r="I200" s="91">
        <f t="shared" si="56"/>
        <v>167000</v>
      </c>
      <c r="J200" s="91">
        <f t="shared" si="56"/>
        <v>2709960</v>
      </c>
      <c r="K200" s="86">
        <f t="shared" si="56"/>
        <v>100000</v>
      </c>
      <c r="L200" s="86">
        <f t="shared" si="56"/>
        <v>100000</v>
      </c>
      <c r="M200" s="86">
        <f t="shared" si="56"/>
        <v>0</v>
      </c>
      <c r="N200" s="86">
        <f t="shared" si="56"/>
        <v>0</v>
      </c>
      <c r="O200" s="86">
        <f t="shared" si="56"/>
        <v>0</v>
      </c>
      <c r="P200" s="86">
        <f t="shared" si="56"/>
        <v>100000</v>
      </c>
      <c r="Q200" s="86">
        <f t="shared" si="54"/>
        <v>56243613.620000005</v>
      </c>
      <c r="R200" s="64"/>
      <c r="S200" s="71"/>
      <c r="T200" s="66"/>
    </row>
    <row r="201" spans="1:20" s="15" customFormat="1" ht="60" customHeight="1">
      <c r="A201" s="101" t="s">
        <v>190</v>
      </c>
      <c r="B201" s="109">
        <v>3710000</v>
      </c>
      <c r="C201" s="102"/>
      <c r="D201" s="40" t="str">
        <f>D200</f>
        <v>Фінансове управління міської ради</v>
      </c>
      <c r="E201" s="37"/>
      <c r="F201" s="127">
        <f>F202+F203+F204+F205+F206+F207+F209+F210+F211</f>
        <v>56143613.620000005</v>
      </c>
      <c r="G201" s="127">
        <f>SUM(G202:G211)</f>
        <v>34618035.590000004</v>
      </c>
      <c r="H201" s="127">
        <f t="shared" ref="H201:J201" si="57">SUM(H202:H211)</f>
        <v>7365700</v>
      </c>
      <c r="I201" s="127">
        <f t="shared" si="57"/>
        <v>167000</v>
      </c>
      <c r="J201" s="127">
        <f t="shared" si="57"/>
        <v>2709960</v>
      </c>
      <c r="K201" s="127">
        <f>SUM(K202:K211)</f>
        <v>100000</v>
      </c>
      <c r="L201" s="127">
        <f t="shared" ref="L201:P201" si="58">SUM(L202:L211)</f>
        <v>100000</v>
      </c>
      <c r="M201" s="127">
        <f t="shared" si="58"/>
        <v>0</v>
      </c>
      <c r="N201" s="127">
        <f t="shared" si="58"/>
        <v>0</v>
      </c>
      <c r="O201" s="127">
        <f t="shared" si="58"/>
        <v>0</v>
      </c>
      <c r="P201" s="127">
        <f t="shared" si="58"/>
        <v>100000</v>
      </c>
      <c r="Q201" s="110">
        <f t="shared" si="54"/>
        <v>56243613.620000005</v>
      </c>
      <c r="R201" s="64"/>
      <c r="S201" s="71"/>
      <c r="T201" s="66"/>
    </row>
    <row r="202" spans="1:20" s="4" customFormat="1" ht="74.45" customHeight="1">
      <c r="A202" s="96" t="s">
        <v>191</v>
      </c>
      <c r="B202" s="96" t="s">
        <v>316</v>
      </c>
      <c r="C202" s="96" t="s">
        <v>57</v>
      </c>
      <c r="D202" s="42" t="s">
        <v>454</v>
      </c>
      <c r="E202" s="39" t="s">
        <v>2</v>
      </c>
      <c r="F202" s="110">
        <f>G202+J202</f>
        <v>9195000</v>
      </c>
      <c r="G202" s="110">
        <f>7345000+900000+950000</f>
        <v>9195000</v>
      </c>
      <c r="H202" s="111">
        <f>5785700+750000+830000</f>
        <v>7365700</v>
      </c>
      <c r="I202" s="111">
        <v>167000</v>
      </c>
      <c r="J202" s="111"/>
      <c r="K202" s="110">
        <f t="shared" ref="K202:K209" si="59">M202+P202</f>
        <v>50000</v>
      </c>
      <c r="L202" s="110">
        <v>50000</v>
      </c>
      <c r="M202" s="111"/>
      <c r="N202" s="110"/>
      <c r="O202" s="111"/>
      <c r="P202" s="111">
        <f>L202</f>
        <v>50000</v>
      </c>
      <c r="Q202" s="110">
        <f t="shared" si="54"/>
        <v>9245000</v>
      </c>
      <c r="R202" s="70"/>
      <c r="S202" s="70"/>
      <c r="T202" s="69"/>
    </row>
    <row r="203" spans="1:20" s="4" customFormat="1" ht="53.1" customHeight="1">
      <c r="A203" s="96" t="s">
        <v>234</v>
      </c>
      <c r="B203" s="96" t="s">
        <v>256</v>
      </c>
      <c r="C203" s="96" t="s">
        <v>68</v>
      </c>
      <c r="D203" s="42" t="s">
        <v>131</v>
      </c>
      <c r="E203" s="39"/>
      <c r="F203" s="110">
        <f>G203+J203</f>
        <v>5000</v>
      </c>
      <c r="G203" s="110">
        <f>2000+3000</f>
        <v>5000</v>
      </c>
      <c r="H203" s="111"/>
      <c r="I203" s="111"/>
      <c r="J203" s="111"/>
      <c r="K203" s="110">
        <f t="shared" si="59"/>
        <v>0</v>
      </c>
      <c r="L203" s="110"/>
      <c r="M203" s="111"/>
      <c r="N203" s="110"/>
      <c r="O203" s="111"/>
      <c r="P203" s="111"/>
      <c r="Q203" s="110">
        <f t="shared" si="54"/>
        <v>5000</v>
      </c>
      <c r="R203" s="70"/>
      <c r="S203" s="70"/>
      <c r="T203" s="69"/>
    </row>
    <row r="204" spans="1:20" s="4" customFormat="1" ht="53.1" customHeight="1">
      <c r="A204" s="96" t="s">
        <v>426</v>
      </c>
      <c r="B204" s="96" t="s">
        <v>409</v>
      </c>
      <c r="C204" s="96" t="s">
        <v>410</v>
      </c>
      <c r="D204" s="34" t="s">
        <v>411</v>
      </c>
      <c r="E204" s="47"/>
      <c r="F204" s="110">
        <f>G204+J204</f>
        <v>100000</v>
      </c>
      <c r="G204" s="113">
        <f>100000</f>
        <v>100000</v>
      </c>
      <c r="H204" s="114"/>
      <c r="I204" s="114"/>
      <c r="J204" s="114"/>
      <c r="K204" s="110">
        <f t="shared" si="59"/>
        <v>50000</v>
      </c>
      <c r="L204" s="113">
        <v>50000</v>
      </c>
      <c r="M204" s="113"/>
      <c r="N204" s="113"/>
      <c r="O204" s="114"/>
      <c r="P204" s="114">
        <f>L204</f>
        <v>50000</v>
      </c>
      <c r="Q204" s="110">
        <f>F204+K204</f>
        <v>150000</v>
      </c>
      <c r="R204" s="70"/>
      <c r="S204" s="70"/>
      <c r="T204" s="69"/>
    </row>
    <row r="205" spans="1:20" s="4" customFormat="1" ht="46.15" customHeight="1">
      <c r="A205" s="96" t="s">
        <v>299</v>
      </c>
      <c r="B205" s="96" t="s">
        <v>403</v>
      </c>
      <c r="C205" s="96" t="s">
        <v>256</v>
      </c>
      <c r="D205" s="42" t="s">
        <v>300</v>
      </c>
      <c r="E205" s="39"/>
      <c r="F205" s="110">
        <f>G205+J205</f>
        <v>0</v>
      </c>
      <c r="G205" s="110"/>
      <c r="H205" s="111"/>
      <c r="I205" s="111"/>
      <c r="J205" s="111"/>
      <c r="K205" s="110"/>
      <c r="L205" s="110"/>
      <c r="M205" s="111"/>
      <c r="N205" s="110"/>
      <c r="O205" s="111"/>
      <c r="P205" s="111"/>
      <c r="Q205" s="110">
        <f t="shared" si="54"/>
        <v>0</v>
      </c>
      <c r="R205" s="70"/>
      <c r="S205" s="70"/>
      <c r="T205" s="69"/>
    </row>
    <row r="206" spans="1:20" s="4" customFormat="1" ht="53.1" customHeight="1">
      <c r="A206" s="96" t="s">
        <v>282</v>
      </c>
      <c r="B206" s="96" t="s">
        <v>404</v>
      </c>
      <c r="C206" s="96" t="s">
        <v>283</v>
      </c>
      <c r="D206" s="42" t="s">
        <v>284</v>
      </c>
      <c r="E206" s="39"/>
      <c r="F206" s="110">
        <f>G206+J206</f>
        <v>42610</v>
      </c>
      <c r="G206" s="110">
        <v>42610</v>
      </c>
      <c r="H206" s="111"/>
      <c r="I206" s="111"/>
      <c r="J206" s="111"/>
      <c r="K206" s="110">
        <f t="shared" si="59"/>
        <v>0</v>
      </c>
      <c r="L206" s="110"/>
      <c r="M206" s="111"/>
      <c r="N206" s="110"/>
      <c r="O206" s="111"/>
      <c r="P206" s="111"/>
      <c r="Q206" s="110">
        <f t="shared" si="54"/>
        <v>42610</v>
      </c>
      <c r="R206" s="70"/>
      <c r="S206" s="70"/>
      <c r="T206" s="69"/>
    </row>
    <row r="207" spans="1:20" s="4" customFormat="1" ht="47.1" customHeight="1">
      <c r="A207" s="96" t="s">
        <v>503</v>
      </c>
      <c r="B207" s="96" t="s">
        <v>509</v>
      </c>
      <c r="C207" s="96" t="s">
        <v>68</v>
      </c>
      <c r="D207" s="42" t="s">
        <v>510</v>
      </c>
      <c r="E207" s="39"/>
      <c r="F207" s="110">
        <f>5490700+11917100-90.59-100000-65000-7993270+250000+18859388+2404308-5241887-150000-2488580-500000+3151064.12-200000-1086000-130000-250000-199000-189047-50000-3764567.5-49500-800000</f>
        <v>18815618.030000001</v>
      </c>
      <c r="G207" s="110"/>
      <c r="H207" s="111"/>
      <c r="I207" s="111"/>
      <c r="J207" s="111"/>
      <c r="K207" s="110">
        <f t="shared" si="59"/>
        <v>0</v>
      </c>
      <c r="L207" s="110"/>
      <c r="M207" s="111"/>
      <c r="N207" s="110"/>
      <c r="O207" s="111"/>
      <c r="P207" s="111"/>
      <c r="Q207" s="110">
        <f>F207+K207</f>
        <v>18815618.030000001</v>
      </c>
      <c r="R207" s="70"/>
      <c r="S207" s="70"/>
      <c r="T207" s="69"/>
    </row>
    <row r="208" spans="1:20" s="4" customFormat="1" ht="48.75" hidden="1" customHeight="1">
      <c r="A208" s="96" t="s">
        <v>260</v>
      </c>
      <c r="B208" s="96" t="s">
        <v>405</v>
      </c>
      <c r="C208" s="96" t="s">
        <v>256</v>
      </c>
      <c r="D208" s="42" t="s">
        <v>261</v>
      </c>
      <c r="E208" s="3"/>
      <c r="F208" s="110">
        <f>G208+J208</f>
        <v>0</v>
      </c>
      <c r="G208" s="110"/>
      <c r="H208" s="111"/>
      <c r="I208" s="111"/>
      <c r="J208" s="128"/>
      <c r="K208" s="110">
        <f t="shared" si="59"/>
        <v>0</v>
      </c>
      <c r="L208" s="110"/>
      <c r="M208" s="111"/>
      <c r="N208" s="110"/>
      <c r="O208" s="111"/>
      <c r="P208" s="111"/>
      <c r="Q208" s="110">
        <f t="shared" ref="Q208:Q211" si="60">F208+K208</f>
        <v>0</v>
      </c>
      <c r="R208" s="70"/>
      <c r="S208" s="70"/>
      <c r="T208" s="69"/>
    </row>
    <row r="209" spans="1:20" s="4" customFormat="1" ht="48.75" customHeight="1">
      <c r="A209" s="96" t="s">
        <v>533</v>
      </c>
      <c r="B209" s="96" t="s">
        <v>534</v>
      </c>
      <c r="C209" s="96" t="s">
        <v>256</v>
      </c>
      <c r="D209" s="42" t="s">
        <v>535</v>
      </c>
      <c r="E209" s="3"/>
      <c r="F209" s="110">
        <f>G209+J209</f>
        <v>919000</v>
      </c>
      <c r="G209" s="110">
        <v>919000</v>
      </c>
      <c r="H209" s="111"/>
      <c r="I209" s="111"/>
      <c r="J209" s="111"/>
      <c r="K209" s="110">
        <f t="shared" si="59"/>
        <v>0</v>
      </c>
      <c r="L209" s="110"/>
      <c r="M209" s="111"/>
      <c r="N209" s="110"/>
      <c r="O209" s="111"/>
      <c r="P209" s="111"/>
      <c r="Q209" s="110">
        <f t="shared" si="60"/>
        <v>919000</v>
      </c>
      <c r="R209" s="70"/>
      <c r="S209" s="70"/>
      <c r="T209" s="69"/>
    </row>
    <row r="210" spans="1:20" s="4" customFormat="1" ht="48.75" customHeight="1">
      <c r="A210" s="98" t="s">
        <v>260</v>
      </c>
      <c r="B210" s="98" t="s">
        <v>405</v>
      </c>
      <c r="C210" s="98" t="s">
        <v>256</v>
      </c>
      <c r="D210" s="51" t="s">
        <v>555</v>
      </c>
      <c r="E210" s="79"/>
      <c r="F210" s="113">
        <f>G210</f>
        <v>110000</v>
      </c>
      <c r="G210" s="113">
        <f>110000</f>
        <v>110000</v>
      </c>
      <c r="H210" s="114"/>
      <c r="I210" s="114"/>
      <c r="J210" s="114"/>
      <c r="K210" s="113">
        <v>0</v>
      </c>
      <c r="L210" s="110"/>
      <c r="M210" s="111"/>
      <c r="N210" s="110"/>
      <c r="O210" s="111"/>
      <c r="P210" s="111"/>
      <c r="Q210" s="110">
        <f t="shared" si="60"/>
        <v>110000</v>
      </c>
      <c r="R210" s="70"/>
      <c r="S210" s="70"/>
      <c r="T210" s="69"/>
    </row>
    <row r="211" spans="1:20" s="4" customFormat="1" ht="105" customHeight="1">
      <c r="A211" s="171" t="s">
        <v>553</v>
      </c>
      <c r="B211" s="172" t="s">
        <v>554</v>
      </c>
      <c r="C211" s="172" t="s">
        <v>256</v>
      </c>
      <c r="D211" s="173" t="s">
        <v>552</v>
      </c>
      <c r="E211" s="174"/>
      <c r="F211" s="175">
        <f>G211+J211</f>
        <v>26956385.59</v>
      </c>
      <c r="G211" s="175">
        <f>200000+100000+700000+120000+10000000+300000+647637+169040+1000000+2168138+6532013+2309597.59</f>
        <v>24246425.59</v>
      </c>
      <c r="H211" s="176"/>
      <c r="I211" s="176"/>
      <c r="J211" s="176">
        <f>450000+800000+350000+309960+800000</f>
        <v>2709960</v>
      </c>
      <c r="K211" s="177">
        <f>L211</f>
        <v>0</v>
      </c>
      <c r="L211" s="170"/>
      <c r="M211" s="114"/>
      <c r="N211" s="113"/>
      <c r="O211" s="114"/>
      <c r="P211" s="114"/>
      <c r="Q211" s="113">
        <f t="shared" si="60"/>
        <v>26956385.59</v>
      </c>
      <c r="R211" s="70"/>
      <c r="S211" s="70"/>
      <c r="T211" s="69"/>
    </row>
    <row r="212" spans="1:20" s="7" customFormat="1" ht="76.7" customHeight="1">
      <c r="A212" s="181"/>
      <c r="B212" s="182"/>
      <c r="C212" s="182"/>
      <c r="D212" s="184" t="s">
        <v>192</v>
      </c>
      <c r="E212" s="183" t="s">
        <v>12</v>
      </c>
      <c r="F212" s="178">
        <f>F12+F50+F124+F137+F150+F200+F86+F191</f>
        <v>747022587.71000004</v>
      </c>
      <c r="G212" s="180">
        <f>G12+G50+G124+G137+G150+G200+G86+G191</f>
        <v>689715425.33000004</v>
      </c>
      <c r="H212" s="178">
        <f>H12+H50+H124+H137+H150+H200+H86+H191</f>
        <v>315003680.41999996</v>
      </c>
      <c r="I212" s="180">
        <f>I12+I50+I124+I137+I150+I200+I86+I191</f>
        <v>57902640</v>
      </c>
      <c r="J212" s="178">
        <f>J12+J50+J124+J137+J150+J200+J86</f>
        <v>38491544.350000001</v>
      </c>
      <c r="K212" s="180">
        <f>M212+P212</f>
        <v>100219111.5</v>
      </c>
      <c r="L212" s="178">
        <f>L12+L50+L124+L137+L150+L200+L86+L191</f>
        <v>82236426.5</v>
      </c>
      <c r="M212" s="179">
        <f>M12+M50+M124+M137+M150+M200+M86+M191</f>
        <v>13697685</v>
      </c>
      <c r="N212" s="180">
        <f>N12+N50+N124+N137+N150+N200+N86</f>
        <v>631700</v>
      </c>
      <c r="O212" s="178">
        <f>O12+O50+O124+O137+O150+O200+O86</f>
        <v>265000</v>
      </c>
      <c r="P212" s="179">
        <f>P12+P50+P124+P137+P150+P200+P86+P191</f>
        <v>86521426.5</v>
      </c>
      <c r="Q212" s="180">
        <f>F212+K212</f>
        <v>847241699.21000004</v>
      </c>
      <c r="R212" s="74"/>
      <c r="S212" s="75"/>
      <c r="T212" s="76"/>
    </row>
    <row r="213" spans="1:20" s="7" customFormat="1" ht="76.7" customHeight="1">
      <c r="A213" s="167"/>
      <c r="B213" s="167"/>
      <c r="C213" s="167"/>
      <c r="D213" s="168"/>
      <c r="E213" s="167"/>
      <c r="F213" s="169"/>
      <c r="G213" s="169"/>
      <c r="H213" s="169"/>
      <c r="I213" s="169"/>
      <c r="J213" s="169"/>
      <c r="K213" s="169"/>
      <c r="L213" s="169"/>
      <c r="M213" s="169"/>
      <c r="N213" s="169"/>
      <c r="O213" s="169"/>
      <c r="P213" s="169"/>
      <c r="Q213" s="169"/>
      <c r="R213" s="74"/>
      <c r="S213" s="75"/>
      <c r="T213" s="76"/>
    </row>
    <row r="214" spans="1:20" s="7" customFormat="1" ht="76.7" customHeight="1">
      <c r="A214" s="167"/>
      <c r="B214" s="167"/>
      <c r="C214" s="167"/>
      <c r="D214" s="168"/>
      <c r="E214" s="167"/>
      <c r="F214" s="169"/>
      <c r="G214" s="169"/>
      <c r="H214" s="169"/>
      <c r="I214" s="169"/>
      <c r="J214" s="169"/>
      <c r="K214" s="169"/>
      <c r="L214" s="169"/>
      <c r="M214" s="169"/>
      <c r="N214" s="169"/>
      <c r="O214" s="169"/>
      <c r="P214" s="169"/>
      <c r="Q214" s="169"/>
      <c r="R214" s="74"/>
      <c r="S214" s="75"/>
      <c r="T214" s="76"/>
    </row>
    <row r="215" spans="1:20" s="7" customFormat="1" ht="56.25" customHeight="1">
      <c r="A215" s="185" t="s">
        <v>573</v>
      </c>
      <c r="B215" s="185"/>
      <c r="C215" s="185"/>
      <c r="D215" s="185"/>
      <c r="E215" s="185"/>
      <c r="F215" s="185"/>
      <c r="G215" s="185"/>
      <c r="H215" s="185"/>
      <c r="I215" s="185"/>
      <c r="J215" s="185"/>
      <c r="K215" s="185"/>
      <c r="L215" s="185"/>
      <c r="M215" s="185"/>
      <c r="N215" s="185"/>
      <c r="O215" s="185"/>
      <c r="P215" s="185"/>
      <c r="Q215" s="185"/>
      <c r="R215" s="31"/>
      <c r="S215" s="32"/>
      <c r="T215" s="8"/>
    </row>
    <row r="216" spans="1:20" s="7" customFormat="1" ht="57.2" customHeight="1">
      <c r="A216" s="144"/>
      <c r="B216" s="144"/>
      <c r="C216" s="144"/>
      <c r="D216" s="144"/>
      <c r="E216" s="144"/>
      <c r="F216" s="144"/>
      <c r="G216" s="144"/>
      <c r="H216" s="145"/>
      <c r="I216" s="145"/>
      <c r="J216" s="144"/>
      <c r="K216" s="144"/>
      <c r="L216" s="144"/>
      <c r="M216" s="144"/>
      <c r="N216" s="144"/>
      <c r="O216" s="144"/>
      <c r="P216" s="144"/>
      <c r="Q216" s="144"/>
      <c r="T216" s="8"/>
    </row>
    <row r="217" spans="1:20" s="17" customFormat="1" ht="21.75" customHeight="1">
      <c r="A217" s="144"/>
      <c r="B217" s="144"/>
      <c r="C217" s="144"/>
      <c r="D217" s="144"/>
      <c r="E217" s="144"/>
      <c r="F217" s="144"/>
      <c r="G217" s="144"/>
      <c r="H217" s="144"/>
      <c r="I217" s="144"/>
      <c r="J217" s="144"/>
      <c r="K217" s="144"/>
      <c r="L217" s="144"/>
      <c r="M217" s="144"/>
      <c r="N217" s="144"/>
      <c r="O217" s="144"/>
      <c r="P217" s="144"/>
      <c r="Q217" s="145"/>
      <c r="T217" s="18"/>
    </row>
    <row r="220" spans="1:20" ht="24.75" customHeight="1">
      <c r="F220" s="33"/>
      <c r="Q220" s="33"/>
    </row>
  </sheetData>
  <mergeCells count="31">
    <mergeCell ref="A215:Q215"/>
    <mergeCell ref="M8:M10"/>
    <mergeCell ref="A6:C6"/>
    <mergeCell ref="A7:A10"/>
    <mergeCell ref="B7:B10"/>
    <mergeCell ref="C7:C10"/>
    <mergeCell ref="D7:D10"/>
    <mergeCell ref="F7:J7"/>
    <mergeCell ref="N8:O8"/>
    <mergeCell ref="P8:P10"/>
    <mergeCell ref="H9:H10"/>
    <mergeCell ref="I9:I10"/>
    <mergeCell ref="N9:N10"/>
    <mergeCell ref="O9:O10"/>
    <mergeCell ref="E7:E10"/>
    <mergeCell ref="K7:P7"/>
    <mergeCell ref="A5:C5"/>
    <mergeCell ref="N5:Q5"/>
    <mergeCell ref="N1:Q1"/>
    <mergeCell ref="A2:M2"/>
    <mergeCell ref="N2:Q2"/>
    <mergeCell ref="A4:M4"/>
    <mergeCell ref="K5:M5"/>
    <mergeCell ref="M3:Q3"/>
    <mergeCell ref="Q7:Q10"/>
    <mergeCell ref="F8:F10"/>
    <mergeCell ref="G8:G10"/>
    <mergeCell ref="H8:I8"/>
    <mergeCell ref="J8:J10"/>
    <mergeCell ref="K8:K10"/>
    <mergeCell ref="L8:L10"/>
  </mergeCells>
  <printOptions horizontalCentered="1"/>
  <pageMargins left="0.19685039370078741" right="0.19685039370078741" top="0" bottom="3.937007874015748E-2" header="0.23622047244094491" footer="0"/>
  <pageSetup paperSize="9" scale="24" fitToHeight="4" orientation="landscape" r:id="rId1"/>
  <headerFooter alignWithMargins="0"/>
  <rowBreaks count="5" manualBreakCount="5">
    <brk id="43" max="16" man="1"/>
    <brk id="70" max="16" man="1"/>
    <brk id="115" max="16" man="1"/>
    <brk id="140" max="16" man="1"/>
    <brk id="181"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дод 3 </vt:lpstr>
      <vt:lpstr>'дод 3 '!Заголовки_для_друку</vt:lpstr>
      <vt:lpstr>'дод 3 '!Область_друку</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admin</cp:lastModifiedBy>
  <cp:lastPrinted>2023-09-29T13:08:56Z</cp:lastPrinted>
  <dcterms:created xsi:type="dcterms:W3CDTF">2002-10-09T16:25:59Z</dcterms:created>
  <dcterms:modified xsi:type="dcterms:W3CDTF">2023-09-29T13:12:28Z</dcterms:modified>
</cp:coreProperties>
</file>