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19440" windowHeight="14880"/>
  </bookViews>
  <sheets>
    <sheet name="з резервом" sheetId="10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6" i="104"/>
  <c r="G51"/>
  <c r="G24"/>
  <c r="F67"/>
  <c r="C66"/>
  <c r="G25" l="1"/>
  <c r="G50" s="1"/>
  <c r="G62"/>
  <c r="G53"/>
  <c r="F62"/>
  <c r="C62"/>
  <c r="E62"/>
  <c r="D61"/>
  <c r="D56"/>
  <c r="D62" s="1"/>
  <c r="C56"/>
  <c r="E35"/>
  <c r="E40"/>
  <c r="E41"/>
  <c r="E42"/>
  <c r="E33"/>
  <c r="E34"/>
  <c r="E48"/>
  <c r="E24"/>
  <c r="E29"/>
  <c r="E49"/>
  <c r="E25"/>
  <c r="E28"/>
  <c r="E26"/>
  <c r="E32"/>
  <c r="E31"/>
  <c r="E27"/>
  <c r="E37"/>
  <c r="E22"/>
  <c r="E43"/>
  <c r="E47"/>
  <c r="E23"/>
  <c r="E38"/>
  <c r="E36"/>
  <c r="E12"/>
  <c r="E8"/>
  <c r="E16"/>
  <c r="E15"/>
  <c r="E10"/>
  <c r="E13"/>
  <c r="E14"/>
  <c r="E11"/>
  <c r="E9"/>
  <c r="C18"/>
  <c r="D18" s="1"/>
  <c r="C17"/>
  <c r="C46"/>
  <c r="D46" s="1"/>
  <c r="C49"/>
  <c r="D49" s="1"/>
  <c r="C30"/>
  <c r="D30" s="1"/>
  <c r="C21"/>
  <c r="D21" s="1"/>
  <c r="C34"/>
  <c r="D34" s="1"/>
  <c r="C8"/>
  <c r="D8" s="1"/>
  <c r="C52"/>
  <c r="C41"/>
  <c r="D41" s="1"/>
  <c r="C42"/>
  <c r="D42" s="1"/>
  <c r="C31"/>
  <c r="C16"/>
  <c r="D16" s="1"/>
  <c r="C51"/>
  <c r="D51" s="1"/>
  <c r="C47"/>
  <c r="D47" s="1"/>
  <c r="C48"/>
  <c r="D48" s="1"/>
  <c r="C28"/>
  <c r="D28" s="1"/>
  <c r="C43"/>
  <c r="C14"/>
  <c r="C9"/>
  <c r="D9" s="1"/>
  <c r="C40"/>
  <c r="D40" s="1"/>
  <c r="C33"/>
  <c r="D33" s="1"/>
  <c r="D22"/>
  <c r="D23"/>
  <c r="D24"/>
  <c r="D25"/>
  <c r="D26"/>
  <c r="D27"/>
  <c r="D29"/>
  <c r="D31"/>
  <c r="D32"/>
  <c r="D35"/>
  <c r="D36"/>
  <c r="D37"/>
  <c r="D38"/>
  <c r="D39"/>
  <c r="D43"/>
  <c r="D44"/>
  <c r="D45"/>
  <c r="D14"/>
  <c r="D11"/>
  <c r="D12"/>
  <c r="D13"/>
  <c r="D15"/>
  <c r="D19"/>
  <c r="C10"/>
  <c r="D10" s="1"/>
  <c r="B50"/>
  <c r="E53"/>
  <c r="F53"/>
  <c r="F20"/>
  <c r="F50"/>
  <c r="B62"/>
  <c r="B53"/>
  <c r="G20"/>
  <c r="B20"/>
  <c r="G54" l="1"/>
  <c r="G63" s="1"/>
  <c r="G67" s="1"/>
  <c r="F54"/>
  <c r="F63" s="1"/>
  <c r="D50"/>
  <c r="C53"/>
  <c r="D52"/>
  <c r="D53" s="1"/>
  <c r="C20"/>
  <c r="E50"/>
  <c r="E20"/>
  <c r="D17"/>
  <c r="D20" s="1"/>
  <c r="C50"/>
  <c r="B54"/>
  <c r="B63" s="1"/>
  <c r="C54" l="1"/>
  <c r="C63" s="1"/>
  <c r="E54"/>
  <c r="E63" s="1"/>
  <c r="E67" s="1"/>
  <c r="D54"/>
  <c r="D63" s="1"/>
</calcChain>
</file>

<file path=xl/sharedStrings.xml><?xml version="1.0" encoding="utf-8"?>
<sst xmlns="http://schemas.openxmlformats.org/spreadsheetml/2006/main" count="71" uniqueCount="71">
  <si>
    <t>ВСЬОГО  по  КЕКВ 2240</t>
  </si>
  <si>
    <t>Розмітка вулиць</t>
  </si>
  <si>
    <t>Вивіз стихійних сміттєзвалищ</t>
  </si>
  <si>
    <t xml:space="preserve">Поточний ремонт малих архітектурних форм по місту </t>
  </si>
  <si>
    <t>Поточний ремонт дитячих майданчиків</t>
  </si>
  <si>
    <t>БЛАГОУСТРІЙ</t>
  </si>
  <si>
    <t>УТРИМАННЯ ДОРІГ</t>
  </si>
  <si>
    <t>ВСЬОГО</t>
  </si>
  <si>
    <t>Обслуговування відеокамер</t>
  </si>
  <si>
    <t>Направлення видатків</t>
  </si>
  <si>
    <t>грн.</t>
  </si>
  <si>
    <t>Сіль для промислового перероблення  ДСТУ 4246 2003 кам'яна сорт вищий, крупність 3 без пакування /4 вагона/</t>
  </si>
  <si>
    <t>Закупівля знаків згідно проекту ОДР</t>
  </si>
  <si>
    <t>Придбання вазонів</t>
  </si>
  <si>
    <t>Придбання лічильників</t>
  </si>
  <si>
    <t>Придбання квітів</t>
  </si>
  <si>
    <t>Придбання насіння трави</t>
  </si>
  <si>
    <t>Придбання елементів благоустрою</t>
  </si>
  <si>
    <t>Оплата послуг інтернету на відеокамерах</t>
  </si>
  <si>
    <t>Поховання безрідних</t>
  </si>
  <si>
    <t>Поточний ремонт пам’ятників та пам’ятних знаків</t>
  </si>
  <si>
    <t xml:space="preserve">Поточний ремонт автобусних зупинок </t>
  </si>
  <si>
    <t>Поточний ремонт  територій посадочних платформ</t>
  </si>
  <si>
    <t xml:space="preserve">Миття автобусних зупинок </t>
  </si>
  <si>
    <t>Встановлення дорожніх знаків</t>
  </si>
  <si>
    <t>Консервація, розконсервація  фонтанів</t>
  </si>
  <si>
    <t>Обслуговування фонтанів</t>
  </si>
  <si>
    <t>Послуги з технічного обслуговування електроустаткування мереж вуличного освітлення</t>
  </si>
  <si>
    <t>Монтування ліній вуличного освітлення</t>
  </si>
  <si>
    <t xml:space="preserve">Ремонтування та технічне обслуговування електронного і оптичного устаткування / Ремонт і повірка електролічильників  </t>
  </si>
  <si>
    <t xml:space="preserve">Транспортні послуги </t>
  </si>
  <si>
    <t>Послуги по встановленню, обслуговуванню  новорічної ялинки та прикрашання території загального користування до Новорічних та Різдвяних свят</t>
  </si>
  <si>
    <t>Видалення дерев, корчування пнів, розкряжування деревини</t>
  </si>
  <si>
    <t>Викошування газонів</t>
  </si>
  <si>
    <t xml:space="preserve">Підрізання дерев </t>
  </si>
  <si>
    <t>Вулична електроенергія</t>
  </si>
  <si>
    <t>Всого по енергоносіях</t>
  </si>
  <si>
    <t>Разом по благоустрою</t>
  </si>
  <si>
    <t>(загальний фонд)</t>
  </si>
  <si>
    <t>ВСЬОГО  по  КЕКВ  2210</t>
  </si>
  <si>
    <t>Інше</t>
  </si>
  <si>
    <t>Природний газ</t>
  </si>
  <si>
    <t xml:space="preserve">Разом по УЖКГ та Б </t>
  </si>
  <si>
    <t xml:space="preserve">Придбання контейнерів /48,0/ та урн/46,0/ для сміття </t>
  </si>
  <si>
    <t>Встановлення бар’єрних огороджень разом з придбанням</t>
  </si>
  <si>
    <t>Потреба на 2024 рік</t>
  </si>
  <si>
    <t>Уточнений бюджет на 2023 рік</t>
  </si>
  <si>
    <t>Благоустрій території під громадський простір по вул. Об’їжджа</t>
  </si>
  <si>
    <t>Проведення архіологічних досліджень за облаштування скверу Героїв</t>
  </si>
  <si>
    <t>Розподіл видатків на благоустрій, утримання доріг та інші видатки на 2024 рік</t>
  </si>
  <si>
    <t>Придбання ліхтарів</t>
  </si>
  <si>
    <t>Придбання лежачих поліцейських, катафоти, обмежувальні стовпчики</t>
  </si>
  <si>
    <t>Придбання складових /матеріалів/ для поліпшення системи передачі даних та відеоспостереження м. Ніжин</t>
  </si>
  <si>
    <t>Мульчуючі засоби та озеленення</t>
  </si>
  <si>
    <t>Стерілізація собак</t>
  </si>
  <si>
    <t>Встановлення консолей освітлення пішохідних переходів</t>
  </si>
  <si>
    <t>Встановлення пристроїв примусового зниження швидкості</t>
  </si>
  <si>
    <t xml:space="preserve">Монтування поливу вул. Шевченка, Козача </t>
  </si>
  <si>
    <t>ямковий ремонт</t>
  </si>
  <si>
    <t>внутріквартальні дороги</t>
  </si>
  <si>
    <t>Резервний фонд</t>
  </si>
  <si>
    <t xml:space="preserve">Всього </t>
  </si>
  <si>
    <t>Субвенція районному бюджету (Трудовий архів, зарплата)</t>
  </si>
  <si>
    <t xml:space="preserve">Утримання вулично-шляхової мережі міста </t>
  </si>
  <si>
    <t>Початковий бюджет на 2023 рік</t>
  </si>
  <si>
    <t>Додаткові ліміти на 2023 рік</t>
  </si>
  <si>
    <t>Касові видатки на 01.11.2023 р.</t>
  </si>
  <si>
    <t xml:space="preserve">Проект на 2024 рік </t>
  </si>
  <si>
    <t xml:space="preserve">                                                                                                                                                                               Додаток № 4</t>
  </si>
  <si>
    <t>грейдерування та відсипка вулиць</t>
  </si>
  <si>
    <t>поточний ремонт тротуару по вул.Овдіївська до Ніжинської гімназії № 13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</si>
</sst>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3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/>
    <xf numFmtId="3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2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7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3" fillId="0" borderId="1" xfId="0" applyFont="1" applyBorder="1"/>
    <xf numFmtId="4" fontId="3" fillId="0" borderId="1" xfId="0" applyNumberFormat="1" applyFont="1" applyBorder="1"/>
    <xf numFmtId="0" fontId="6" fillId="3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4" fontId="3" fillId="0" borderId="0" xfId="0" applyNumberFormat="1" applyFont="1"/>
    <xf numFmtId="4" fontId="4" fillId="4" borderId="1" xfId="0" applyNumberFormat="1" applyFont="1" applyFill="1" applyBorder="1"/>
    <xf numFmtId="4" fontId="4" fillId="3" borderId="1" xfId="0" applyNumberFormat="1" applyFont="1" applyFill="1" applyBorder="1"/>
    <xf numFmtId="4" fontId="3" fillId="0" borderId="1" xfId="0" applyNumberFormat="1" applyFont="1" applyFill="1" applyBorder="1"/>
    <xf numFmtId="3" fontId="3" fillId="0" borderId="0" xfId="0" applyNumberFormat="1" applyFont="1"/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/>
    <xf numFmtId="4" fontId="3" fillId="5" borderId="1" xfId="0" applyNumberFormat="1" applyFont="1" applyFill="1" applyBorder="1"/>
    <xf numFmtId="4" fontId="3" fillId="5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1" fontId="9" fillId="0" borderId="1" xfId="0" applyNumberFormat="1" applyFont="1" applyBorder="1" applyAlignment="1">
      <alignment horizontal="center"/>
    </xf>
    <xf numFmtId="1" fontId="9" fillId="0" borderId="0" xfId="0" applyNumberFormat="1" applyFont="1" applyAlignment="1">
      <alignment horizontal="center"/>
    </xf>
    <xf numFmtId="0" fontId="8" fillId="5" borderId="1" xfId="0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0" fontId="4" fillId="6" borderId="1" xfId="0" applyFont="1" applyFill="1" applyBorder="1"/>
    <xf numFmtId="4" fontId="4" fillId="0" borderId="1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3" fontId="3" fillId="7" borderId="1" xfId="0" applyNumberFormat="1" applyFont="1" applyFill="1" applyBorder="1" applyAlignment="1">
      <alignment horizontal="center" wrapText="1"/>
    </xf>
    <xf numFmtId="4" fontId="3" fillId="7" borderId="1" xfId="0" applyNumberFormat="1" applyFont="1" applyFill="1" applyBorder="1"/>
    <xf numFmtId="4" fontId="4" fillId="7" borderId="1" xfId="0" applyNumberFormat="1" applyFont="1" applyFill="1" applyBorder="1"/>
    <xf numFmtId="4" fontId="4" fillId="0" borderId="1" xfId="0" applyNumberFormat="1" applyFont="1" applyFill="1" applyBorder="1"/>
    <xf numFmtId="3" fontId="4" fillId="7" borderId="1" xfId="0" applyNumberFormat="1" applyFont="1" applyFill="1" applyBorder="1" applyAlignment="1">
      <alignment horizontal="center" wrapText="1"/>
    </xf>
    <xf numFmtId="0" fontId="4" fillId="6" borderId="1" xfId="0" applyFont="1" applyFill="1" applyBorder="1" applyAlignment="1">
      <alignment wrapText="1"/>
    </xf>
    <xf numFmtId="3" fontId="4" fillId="6" borderId="1" xfId="0" applyNumberFormat="1" applyFont="1" applyFill="1" applyBorder="1" applyAlignment="1">
      <alignment horizontal="center" wrapText="1"/>
    </xf>
    <xf numFmtId="4" fontId="3" fillId="7" borderId="1" xfId="0" applyNumberFormat="1" applyFont="1" applyFill="1" applyBorder="1" applyAlignment="1">
      <alignment horizontal="center"/>
    </xf>
    <xf numFmtId="4" fontId="4" fillId="7" borderId="1" xfId="0" applyNumberFormat="1" applyFont="1" applyFill="1" applyBorder="1" applyAlignment="1">
      <alignment horizontal="center"/>
    </xf>
    <xf numFmtId="0" fontId="8" fillId="7" borderId="1" xfId="0" applyFont="1" applyFill="1" applyBorder="1" applyAlignment="1">
      <alignment wrapText="1"/>
    </xf>
  </cellXfs>
  <cellStyles count="7">
    <cellStyle name="Звичайни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A1:I67"/>
  <sheetViews>
    <sheetView tabSelected="1" topLeftCell="A52" zoomScale="160" zoomScaleNormal="160" workbookViewId="0">
      <selection activeCell="A60" sqref="A60"/>
    </sheetView>
  </sheetViews>
  <sheetFormatPr defaultRowHeight="12.75"/>
  <cols>
    <col min="1" max="1" width="26.85546875" style="2" customWidth="1"/>
    <col min="2" max="2" width="13.28515625" style="2" customWidth="1"/>
    <col min="3" max="3" width="12.140625" style="2" customWidth="1"/>
    <col min="4" max="5" width="14.28515625" style="2" customWidth="1"/>
    <col min="6" max="6" width="11.85546875" style="2" customWidth="1"/>
    <col min="7" max="7" width="13.85546875" style="22" customWidth="1"/>
    <col min="8" max="8" width="14.28515625" style="2" customWidth="1"/>
    <col min="9" max="9" width="12" style="2" bestFit="1" customWidth="1"/>
    <col min="10" max="16384" width="9.140625" style="2"/>
  </cols>
  <sheetData>
    <row r="1" spans="1:7">
      <c r="A1" s="53" t="s">
        <v>68</v>
      </c>
      <c r="B1" s="53"/>
      <c r="C1" s="53"/>
      <c r="D1" s="53"/>
      <c r="E1" s="53"/>
      <c r="F1" s="53"/>
      <c r="G1" s="53"/>
    </row>
    <row r="2" spans="1:7">
      <c r="A2" s="54" t="s">
        <v>49</v>
      </c>
      <c r="B2" s="54"/>
      <c r="C2" s="54"/>
      <c r="D2" s="54"/>
      <c r="E2" s="54"/>
      <c r="F2" s="54"/>
      <c r="G2" s="54"/>
    </row>
    <row r="3" spans="1:7">
      <c r="A3" s="54" t="s">
        <v>38</v>
      </c>
      <c r="B3" s="54"/>
      <c r="C3" s="54"/>
      <c r="D3" s="54"/>
      <c r="E3" s="54"/>
      <c r="F3" s="54"/>
      <c r="G3" s="54"/>
    </row>
    <row r="4" spans="1:7" ht="10.5" customHeight="1">
      <c r="A4" s="1"/>
      <c r="B4" s="46"/>
      <c r="G4" s="46" t="s">
        <v>10</v>
      </c>
    </row>
    <row r="5" spans="1:7" s="36" customFormat="1" ht="38.25" customHeight="1">
      <c r="A5" s="6" t="s">
        <v>9</v>
      </c>
      <c r="B5" s="47" t="s">
        <v>64</v>
      </c>
      <c r="C5" s="47" t="s">
        <v>65</v>
      </c>
      <c r="D5" s="47" t="s">
        <v>46</v>
      </c>
      <c r="E5" s="47" t="s">
        <v>66</v>
      </c>
      <c r="F5" s="48" t="s">
        <v>45</v>
      </c>
      <c r="G5" s="48" t="s">
        <v>67</v>
      </c>
    </row>
    <row r="6" spans="1:7" s="38" customFormat="1" ht="12.75" customHeight="1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</row>
    <row r="7" spans="1:7" ht="12.75" customHeight="1">
      <c r="A7" s="55" t="s">
        <v>5</v>
      </c>
      <c r="B7" s="56"/>
      <c r="C7" s="56"/>
      <c r="D7" s="56"/>
      <c r="E7" s="56"/>
      <c r="F7" s="56"/>
      <c r="G7" s="57"/>
    </row>
    <row r="8" spans="1:7" ht="25.5" customHeight="1">
      <c r="A8" s="7" t="s">
        <v>43</v>
      </c>
      <c r="B8" s="28">
        <v>63700</v>
      </c>
      <c r="C8" s="19">
        <f>90000+48000</f>
        <v>138000</v>
      </c>
      <c r="D8" s="19">
        <f>C8+B8</f>
        <v>201700</v>
      </c>
      <c r="E8" s="19">
        <f>41994+21700+89922+63700-10000</f>
        <v>207316</v>
      </c>
      <c r="F8" s="35">
        <v>73255</v>
      </c>
      <c r="G8" s="58">
        <v>73000</v>
      </c>
    </row>
    <row r="9" spans="1:7" ht="15" customHeight="1">
      <c r="A9" s="7" t="s">
        <v>50</v>
      </c>
      <c r="B9" s="28">
        <v>257400</v>
      </c>
      <c r="C9" s="19">
        <f>90000</f>
        <v>90000</v>
      </c>
      <c r="D9" s="19">
        <f t="shared" ref="D9:D19" si="0">C9+B9</f>
        <v>347400</v>
      </c>
      <c r="E9" s="19">
        <f>345795</f>
        <v>345795</v>
      </c>
      <c r="F9" s="28">
        <v>500000</v>
      </c>
      <c r="G9" s="27">
        <v>500000</v>
      </c>
    </row>
    <row r="10" spans="1:7" ht="32.25" customHeight="1">
      <c r="A10" s="13" t="s">
        <v>11</v>
      </c>
      <c r="B10" s="29">
        <v>533000</v>
      </c>
      <c r="C10" s="19">
        <f>1000000</f>
        <v>1000000</v>
      </c>
      <c r="D10" s="19">
        <f t="shared" si="0"/>
        <v>1533000</v>
      </c>
      <c r="E10" s="19">
        <f>1515380</f>
        <v>1515380</v>
      </c>
      <c r="F10" s="29">
        <v>1756500</v>
      </c>
      <c r="G10" s="3">
        <v>1000000</v>
      </c>
    </row>
    <row r="11" spans="1:7" ht="24.75" customHeight="1">
      <c r="A11" s="8" t="s">
        <v>12</v>
      </c>
      <c r="B11" s="29">
        <v>390000</v>
      </c>
      <c r="C11" s="19"/>
      <c r="D11" s="19">
        <f t="shared" si="0"/>
        <v>390000</v>
      </c>
      <c r="E11" s="19">
        <f>389988</f>
        <v>389988</v>
      </c>
      <c r="F11" s="29">
        <v>200000</v>
      </c>
      <c r="G11" s="3">
        <v>200000</v>
      </c>
    </row>
    <row r="12" spans="1:7" ht="14.25" customHeight="1">
      <c r="A12" s="8" t="s">
        <v>13</v>
      </c>
      <c r="B12" s="29">
        <v>63700</v>
      </c>
      <c r="C12" s="19"/>
      <c r="D12" s="19">
        <f t="shared" si="0"/>
        <v>63700</v>
      </c>
      <c r="E12" s="19">
        <f>23000+25000+10000</f>
        <v>58000</v>
      </c>
      <c r="F12" s="29"/>
      <c r="G12" s="3"/>
    </row>
    <row r="13" spans="1:7" ht="14.25" customHeight="1">
      <c r="A13" s="8" t="s">
        <v>14</v>
      </c>
      <c r="B13" s="29">
        <v>26000</v>
      </c>
      <c r="C13" s="19"/>
      <c r="D13" s="19">
        <f t="shared" si="0"/>
        <v>26000</v>
      </c>
      <c r="E13" s="19">
        <f>7740</f>
        <v>7740</v>
      </c>
      <c r="F13" s="29"/>
      <c r="G13" s="3"/>
    </row>
    <row r="14" spans="1:7" ht="14.25" customHeight="1">
      <c r="A14" s="8" t="s">
        <v>15</v>
      </c>
      <c r="B14" s="29">
        <v>188500</v>
      </c>
      <c r="C14" s="19">
        <f>70000+95000</f>
        <v>165000</v>
      </c>
      <c r="D14" s="19">
        <f t="shared" si="0"/>
        <v>353500</v>
      </c>
      <c r="E14" s="19">
        <f>94830+258520</f>
        <v>353350</v>
      </c>
      <c r="F14" s="29"/>
      <c r="G14" s="3"/>
    </row>
    <row r="15" spans="1:7" ht="14.25" customHeight="1">
      <c r="A15" s="8" t="s">
        <v>16</v>
      </c>
      <c r="B15" s="29">
        <v>63700</v>
      </c>
      <c r="C15" s="19"/>
      <c r="D15" s="19">
        <f t="shared" si="0"/>
        <v>63700</v>
      </c>
      <c r="E15" s="19">
        <f>58290</f>
        <v>58290</v>
      </c>
      <c r="F15" s="29"/>
      <c r="G15" s="3"/>
    </row>
    <row r="16" spans="1:7" ht="26.25" customHeight="1">
      <c r="A16" s="8" t="s">
        <v>51</v>
      </c>
      <c r="B16" s="29">
        <v>63700</v>
      </c>
      <c r="C16" s="19">
        <f>45000+90000+98000</f>
        <v>233000</v>
      </c>
      <c r="D16" s="19">
        <f t="shared" si="0"/>
        <v>296700</v>
      </c>
      <c r="E16" s="19">
        <f>63700+99000+44856+97999.92</f>
        <v>305555.92</v>
      </c>
      <c r="F16" s="29">
        <v>95000</v>
      </c>
      <c r="G16" s="3">
        <v>95000</v>
      </c>
    </row>
    <row r="17" spans="1:8" ht="14.25" customHeight="1">
      <c r="A17" s="8" t="s">
        <v>17</v>
      </c>
      <c r="B17" s="29">
        <v>1793350</v>
      </c>
      <c r="C17" s="19">
        <f>-1224525+80000-371000-80000-200000+5970</f>
        <v>-1789555</v>
      </c>
      <c r="D17" s="19">
        <f t="shared" si="0"/>
        <v>3795</v>
      </c>
      <c r="E17" s="19"/>
      <c r="F17" s="29">
        <v>1500000</v>
      </c>
      <c r="G17" s="3">
        <v>205000</v>
      </c>
    </row>
    <row r="18" spans="1:8" ht="51.75" customHeight="1">
      <c r="A18" s="8" t="s">
        <v>52</v>
      </c>
      <c r="B18" s="29">
        <v>2000000</v>
      </c>
      <c r="C18" s="19">
        <f>-1700000-2200000+1980000</f>
        <v>-1920000</v>
      </c>
      <c r="D18" s="19">
        <f t="shared" si="0"/>
        <v>80000</v>
      </c>
      <c r="E18" s="19"/>
      <c r="F18" s="19"/>
      <c r="G18" s="19"/>
    </row>
    <row r="19" spans="1:8" ht="16.5" customHeight="1">
      <c r="A19" s="8" t="s">
        <v>53</v>
      </c>
      <c r="B19" s="29"/>
      <c r="C19" s="19"/>
      <c r="D19" s="19">
        <f t="shared" si="0"/>
        <v>0</v>
      </c>
      <c r="E19" s="19"/>
      <c r="F19" s="19"/>
      <c r="G19" s="19"/>
    </row>
    <row r="20" spans="1:8" ht="12" customHeight="1">
      <c r="A20" s="20" t="s">
        <v>39</v>
      </c>
      <c r="B20" s="30">
        <f>SUM(B8:B19)</f>
        <v>5443050</v>
      </c>
      <c r="C20" s="30">
        <f>SUM(C8:C19)</f>
        <v>-2083555</v>
      </c>
      <c r="D20" s="24">
        <f>SUM(D8:D19)</f>
        <v>3359495</v>
      </c>
      <c r="E20" s="24">
        <f>SUM(E8:E19)</f>
        <v>3241414.92</v>
      </c>
      <c r="F20" s="24">
        <f>SUM(F5:F19)</f>
        <v>4124761</v>
      </c>
      <c r="G20" s="60">
        <f>SUM(G8:G19)</f>
        <v>2073000</v>
      </c>
    </row>
    <row r="21" spans="1:8" ht="12" customHeight="1">
      <c r="A21" s="10" t="s">
        <v>54</v>
      </c>
      <c r="B21" s="28">
        <v>100000</v>
      </c>
      <c r="C21" s="25">
        <f>95000+95000+97551</f>
        <v>287551</v>
      </c>
      <c r="D21" s="33">
        <f>C21+B21</f>
        <v>387551</v>
      </c>
      <c r="E21" s="33">
        <v>233452</v>
      </c>
      <c r="F21" s="28">
        <v>335000</v>
      </c>
      <c r="G21" s="61">
        <v>0</v>
      </c>
    </row>
    <row r="22" spans="1:8" ht="22.5" customHeight="1">
      <c r="A22" s="9" t="s">
        <v>18</v>
      </c>
      <c r="B22" s="31">
        <v>52000</v>
      </c>
      <c r="C22" s="19"/>
      <c r="D22" s="33">
        <f t="shared" ref="D22:D49" si="1">C22+B22</f>
        <v>52000</v>
      </c>
      <c r="E22" s="34">
        <f>12240</f>
        <v>12240</v>
      </c>
      <c r="F22" s="31">
        <v>50000</v>
      </c>
      <c r="G22" s="19">
        <v>50000</v>
      </c>
    </row>
    <row r="23" spans="1:8">
      <c r="A23" s="7" t="s">
        <v>19</v>
      </c>
      <c r="B23" s="28">
        <v>62400</v>
      </c>
      <c r="C23" s="19">
        <v>60000</v>
      </c>
      <c r="D23" s="33">
        <f t="shared" si="1"/>
        <v>122400</v>
      </c>
      <c r="E23" s="34">
        <f>81892.9</f>
        <v>81892.899999999994</v>
      </c>
      <c r="F23" s="28">
        <v>139467</v>
      </c>
      <c r="G23" s="19">
        <v>135000</v>
      </c>
    </row>
    <row r="24" spans="1:8" ht="22.5" customHeight="1">
      <c r="A24" s="9" t="s">
        <v>3</v>
      </c>
      <c r="B24" s="31">
        <v>587600</v>
      </c>
      <c r="C24" s="19"/>
      <c r="D24" s="33">
        <f t="shared" si="1"/>
        <v>587600</v>
      </c>
      <c r="E24" s="34">
        <f>129012.31+865.59+6393.24+7533.44+201.32+1282.26+239872.99+10234.49+14135+23531+8220.7+6591.54+47680.04+49496.46+2558+2400+37000</f>
        <v>587008.38</v>
      </c>
      <c r="F24" s="31">
        <v>1575506</v>
      </c>
      <c r="G24" s="59">
        <f>857000+1000+73000-73000-480000</f>
        <v>378000</v>
      </c>
    </row>
    <row r="25" spans="1:8" ht="21" customHeight="1">
      <c r="A25" s="9" t="s">
        <v>20</v>
      </c>
      <c r="B25" s="31">
        <v>130000</v>
      </c>
      <c r="C25" s="19"/>
      <c r="D25" s="33">
        <f t="shared" si="1"/>
        <v>130000</v>
      </c>
      <c r="E25" s="34">
        <f>7828.11+97178.96+2041+2418+22891.93-2400</f>
        <v>129958</v>
      </c>
      <c r="F25" s="31">
        <v>227665</v>
      </c>
      <c r="G25" s="19">
        <f>227000-20000</f>
        <v>207000</v>
      </c>
      <c r="H25" s="26"/>
    </row>
    <row r="26" spans="1:8" ht="21" customHeight="1">
      <c r="A26" s="9" t="s">
        <v>4</v>
      </c>
      <c r="B26" s="31">
        <v>104000</v>
      </c>
      <c r="C26" s="19"/>
      <c r="D26" s="33">
        <f t="shared" si="1"/>
        <v>104000</v>
      </c>
      <c r="E26" s="34">
        <f>9214.01+38508.91+48524.03+6350.3+160441.59-159039</f>
        <v>103999.84000000003</v>
      </c>
      <c r="F26" s="31">
        <v>199800</v>
      </c>
      <c r="G26" s="19">
        <v>199000</v>
      </c>
      <c r="H26" s="26"/>
    </row>
    <row r="27" spans="1:8" ht="20.25" customHeight="1">
      <c r="A27" s="9" t="s">
        <v>21</v>
      </c>
      <c r="B27" s="31">
        <v>130000</v>
      </c>
      <c r="C27" s="19"/>
      <c r="D27" s="33">
        <f t="shared" si="1"/>
        <v>130000</v>
      </c>
      <c r="E27" s="34">
        <f>14446+115557-3</f>
        <v>130000</v>
      </c>
      <c r="F27" s="31">
        <v>240000</v>
      </c>
      <c r="G27" s="19">
        <v>200000</v>
      </c>
    </row>
    <row r="28" spans="1:8" ht="24">
      <c r="A28" s="9" t="s">
        <v>22</v>
      </c>
      <c r="B28" s="31">
        <v>260000</v>
      </c>
      <c r="C28" s="19">
        <f>48000</f>
        <v>48000</v>
      </c>
      <c r="D28" s="33">
        <f t="shared" si="1"/>
        <v>308000</v>
      </c>
      <c r="E28" s="34">
        <f>77520+28637+39539.53+300746.4-115551-22892</f>
        <v>307999.93000000005</v>
      </c>
      <c r="F28" s="31">
        <v>150000</v>
      </c>
      <c r="G28" s="19">
        <v>100000</v>
      </c>
    </row>
    <row r="29" spans="1:8">
      <c r="A29" s="10" t="s">
        <v>23</v>
      </c>
      <c r="B29" s="31">
        <v>62400</v>
      </c>
      <c r="C29" s="19"/>
      <c r="D29" s="33">
        <f t="shared" si="1"/>
        <v>62400</v>
      </c>
      <c r="E29" s="34">
        <f>19407.84+42000</f>
        <v>61407.839999999997</v>
      </c>
      <c r="F29" s="31">
        <v>50000</v>
      </c>
      <c r="G29" s="19">
        <v>50000</v>
      </c>
    </row>
    <row r="30" spans="1:8" ht="12.75" customHeight="1">
      <c r="A30" s="10" t="s">
        <v>24</v>
      </c>
      <c r="B30" s="31">
        <v>62400</v>
      </c>
      <c r="C30" s="19">
        <f>95000+50000+95000+95000+95000</f>
        <v>430000</v>
      </c>
      <c r="D30" s="33">
        <f t="shared" si="1"/>
        <v>492400</v>
      </c>
      <c r="E30" s="34">
        <v>492400</v>
      </c>
      <c r="F30" s="31">
        <v>800000</v>
      </c>
      <c r="G30" s="19">
        <v>500000</v>
      </c>
    </row>
    <row r="31" spans="1:8" ht="22.5" customHeight="1">
      <c r="A31" s="10" t="s">
        <v>25</v>
      </c>
      <c r="B31" s="31">
        <v>64350</v>
      </c>
      <c r="C31" s="19">
        <f>56000</f>
        <v>56000</v>
      </c>
      <c r="D31" s="33">
        <f t="shared" si="1"/>
        <v>120350</v>
      </c>
      <c r="E31" s="34">
        <f>133249-12899</f>
        <v>120350</v>
      </c>
      <c r="F31" s="31">
        <v>75000</v>
      </c>
      <c r="G31" s="19">
        <v>75000</v>
      </c>
    </row>
    <row r="32" spans="1:8">
      <c r="A32" s="10" t="s">
        <v>26</v>
      </c>
      <c r="B32" s="31">
        <v>64350</v>
      </c>
      <c r="C32" s="19"/>
      <c r="D32" s="33">
        <f t="shared" si="1"/>
        <v>64350</v>
      </c>
      <c r="E32" s="34">
        <f>12899</f>
        <v>12899</v>
      </c>
      <c r="F32" s="31">
        <v>80000</v>
      </c>
      <c r="G32" s="19">
        <v>80000</v>
      </c>
    </row>
    <row r="33" spans="1:8">
      <c r="A33" s="10" t="s">
        <v>8</v>
      </c>
      <c r="B33" s="31">
        <v>64350</v>
      </c>
      <c r="C33" s="19">
        <f>93525</f>
        <v>93525</v>
      </c>
      <c r="D33" s="33">
        <f t="shared" si="1"/>
        <v>157875</v>
      </c>
      <c r="E33" s="34">
        <f>52168.26+64350+5401</f>
        <v>121919.26000000001</v>
      </c>
      <c r="F33" s="31">
        <v>98000</v>
      </c>
      <c r="G33" s="19">
        <v>98000</v>
      </c>
    </row>
    <row r="34" spans="1:8" ht="21.75" customHeight="1">
      <c r="A34" s="10" t="s">
        <v>44</v>
      </c>
      <c r="B34" s="31">
        <v>63700</v>
      </c>
      <c r="C34" s="19">
        <f>95000</f>
        <v>95000</v>
      </c>
      <c r="D34" s="33">
        <f t="shared" si="1"/>
        <v>158700</v>
      </c>
      <c r="E34" s="34">
        <f>65300+98801-5400-1</f>
        <v>158700</v>
      </c>
      <c r="F34" s="31">
        <v>800000</v>
      </c>
      <c r="G34" s="19">
        <v>500000</v>
      </c>
    </row>
    <row r="35" spans="1:8" ht="34.5" customHeight="1">
      <c r="A35" s="9" t="s">
        <v>27</v>
      </c>
      <c r="B35" s="31">
        <v>2028000</v>
      </c>
      <c r="C35" s="19"/>
      <c r="D35" s="33">
        <f t="shared" si="1"/>
        <v>2028000</v>
      </c>
      <c r="E35" s="34">
        <f>825361.91+35137</f>
        <v>860498.91</v>
      </c>
      <c r="F35" s="31">
        <v>2200000</v>
      </c>
      <c r="G35" s="19">
        <v>1500000</v>
      </c>
    </row>
    <row r="36" spans="1:8" ht="24" customHeight="1">
      <c r="A36" s="9" t="s">
        <v>28</v>
      </c>
      <c r="B36" s="31">
        <v>2600000</v>
      </c>
      <c r="C36" s="19"/>
      <c r="D36" s="33">
        <f t="shared" si="1"/>
        <v>2600000</v>
      </c>
      <c r="E36" s="34">
        <f>1332273.99</f>
        <v>1332273.99</v>
      </c>
      <c r="F36" s="31">
        <v>2200000</v>
      </c>
      <c r="G36" s="19">
        <v>1500000</v>
      </c>
    </row>
    <row r="37" spans="1:8" ht="48">
      <c r="A37" s="9" t="s">
        <v>29</v>
      </c>
      <c r="B37" s="31">
        <v>26000</v>
      </c>
      <c r="C37" s="19"/>
      <c r="D37" s="33">
        <f t="shared" si="1"/>
        <v>26000</v>
      </c>
      <c r="E37" s="34">
        <f>297</f>
        <v>297</v>
      </c>
      <c r="F37" s="31"/>
      <c r="G37" s="19"/>
    </row>
    <row r="38" spans="1:8" ht="16.5" customHeight="1">
      <c r="A38" s="39" t="s">
        <v>30</v>
      </c>
      <c r="B38" s="31">
        <v>520000</v>
      </c>
      <c r="C38" s="19"/>
      <c r="D38" s="33">
        <f t="shared" si="1"/>
        <v>520000</v>
      </c>
      <c r="E38" s="34">
        <f>123719.69</f>
        <v>123719.69</v>
      </c>
      <c r="F38" s="31">
        <v>538188</v>
      </c>
      <c r="G38" s="19">
        <v>500000</v>
      </c>
    </row>
    <row r="39" spans="1:8" ht="54.75" customHeight="1">
      <c r="A39" s="40" t="s">
        <v>31</v>
      </c>
      <c r="B39" s="31">
        <v>63700</v>
      </c>
      <c r="C39" s="19"/>
      <c r="D39" s="33">
        <f t="shared" si="1"/>
        <v>63700</v>
      </c>
      <c r="E39" s="34"/>
      <c r="F39" s="31">
        <v>73000</v>
      </c>
      <c r="G39" s="19"/>
    </row>
    <row r="40" spans="1:8" ht="21" customHeight="1">
      <c r="A40" s="11" t="s">
        <v>32</v>
      </c>
      <c r="B40" s="31">
        <v>1300000</v>
      </c>
      <c r="C40" s="19">
        <f>400000</f>
        <v>400000</v>
      </c>
      <c r="D40" s="33">
        <f t="shared" si="1"/>
        <v>1700000</v>
      </c>
      <c r="E40" s="34">
        <f>882171.3+200000</f>
        <v>1082171.3</v>
      </c>
      <c r="F40" s="31">
        <v>1500000</v>
      </c>
      <c r="G40" s="19">
        <v>1000000</v>
      </c>
    </row>
    <row r="41" spans="1:8" ht="12" customHeight="1">
      <c r="A41" s="11" t="s">
        <v>33</v>
      </c>
      <c r="B41" s="31">
        <v>2080000</v>
      </c>
      <c r="C41" s="19">
        <f>400000</f>
        <v>400000</v>
      </c>
      <c r="D41" s="33">
        <f t="shared" si="1"/>
        <v>2480000</v>
      </c>
      <c r="E41" s="34">
        <f>1667383.11+17447.98</f>
        <v>1684831.09</v>
      </c>
      <c r="F41" s="31">
        <v>1600000</v>
      </c>
      <c r="G41" s="19">
        <v>1000000</v>
      </c>
    </row>
    <row r="42" spans="1:8" ht="13.5" customHeight="1">
      <c r="A42" s="11" t="s">
        <v>34</v>
      </c>
      <c r="B42" s="31">
        <v>390000</v>
      </c>
      <c r="C42" s="19">
        <f>98000+350000</f>
        <v>448000</v>
      </c>
      <c r="D42" s="33">
        <f t="shared" si="1"/>
        <v>838000</v>
      </c>
      <c r="E42" s="34">
        <f>855447.98-17447.98</f>
        <v>838000</v>
      </c>
      <c r="F42" s="31">
        <v>1500000</v>
      </c>
      <c r="G42" s="19">
        <v>800000</v>
      </c>
    </row>
    <row r="43" spans="1:8" ht="36" customHeight="1">
      <c r="A43" s="10" t="s">
        <v>48</v>
      </c>
      <c r="B43" s="28">
        <v>0</v>
      </c>
      <c r="C43" s="19">
        <f>37000+13400</f>
        <v>50400</v>
      </c>
      <c r="D43" s="33">
        <f t="shared" si="1"/>
        <v>50400</v>
      </c>
      <c r="E43" s="34">
        <f>13400+37000</f>
        <v>50400</v>
      </c>
      <c r="F43" s="28"/>
      <c r="G43" s="19"/>
    </row>
    <row r="44" spans="1:8" ht="22.5" customHeight="1">
      <c r="A44" s="10" t="s">
        <v>55</v>
      </c>
      <c r="B44" s="28"/>
      <c r="C44" s="19"/>
      <c r="D44" s="33">
        <f t="shared" si="1"/>
        <v>0</v>
      </c>
      <c r="E44" s="34"/>
      <c r="F44" s="28">
        <v>60000</v>
      </c>
      <c r="G44" s="19">
        <v>60000</v>
      </c>
    </row>
    <row r="45" spans="1:8" ht="26.25" customHeight="1">
      <c r="A45" s="10" t="s">
        <v>56</v>
      </c>
      <c r="B45" s="28"/>
      <c r="C45" s="19"/>
      <c r="D45" s="33">
        <f t="shared" si="1"/>
        <v>0</v>
      </c>
      <c r="E45" s="34"/>
      <c r="F45" s="28">
        <v>80000</v>
      </c>
      <c r="G45" s="19">
        <v>80000</v>
      </c>
      <c r="H45" s="26"/>
    </row>
    <row r="46" spans="1:8" ht="35.25" customHeight="1">
      <c r="A46" s="10" t="s">
        <v>47</v>
      </c>
      <c r="B46" s="28">
        <v>390000</v>
      </c>
      <c r="C46" s="19">
        <f>-105419</f>
        <v>-105419</v>
      </c>
      <c r="D46" s="33">
        <f t="shared" si="1"/>
        <v>284581</v>
      </c>
      <c r="E46" s="34"/>
      <c r="F46" s="28"/>
      <c r="G46" s="19"/>
      <c r="H46" s="26"/>
    </row>
    <row r="47" spans="1:8" ht="26.25" customHeight="1">
      <c r="A47" s="10" t="s">
        <v>57</v>
      </c>
      <c r="B47" s="28"/>
      <c r="C47" s="19">
        <f>98000+80000</f>
        <v>178000</v>
      </c>
      <c r="D47" s="33">
        <f t="shared" si="1"/>
        <v>178000</v>
      </c>
      <c r="E47" s="34">
        <f>174585.6</f>
        <v>174585.60000000001</v>
      </c>
      <c r="F47" s="28"/>
      <c r="G47" s="19"/>
      <c r="H47" s="26"/>
    </row>
    <row r="48" spans="1:8" ht="15" customHeight="1">
      <c r="A48" s="11" t="s">
        <v>2</v>
      </c>
      <c r="B48" s="31">
        <v>793000</v>
      </c>
      <c r="C48" s="19">
        <f>820000</f>
        <v>820000</v>
      </c>
      <c r="D48" s="33">
        <f t="shared" si="1"/>
        <v>1613000</v>
      </c>
      <c r="E48" s="34">
        <f>958762.55+303000</f>
        <v>1261762.55</v>
      </c>
      <c r="F48" s="31">
        <v>1750000</v>
      </c>
      <c r="G48" s="19">
        <v>1000000</v>
      </c>
    </row>
    <row r="49" spans="1:9" ht="15" customHeight="1">
      <c r="A49" s="11" t="s">
        <v>40</v>
      </c>
      <c r="B49" s="31">
        <v>100000</v>
      </c>
      <c r="C49" s="19">
        <f>90000-10000+98000</f>
        <v>178000</v>
      </c>
      <c r="D49" s="33">
        <f t="shared" si="1"/>
        <v>278000</v>
      </c>
      <c r="E49" s="34">
        <f>2971.2+15302.4+159039+100000</f>
        <v>277312.59999999998</v>
      </c>
      <c r="F49" s="31">
        <v>1000000</v>
      </c>
      <c r="G49" s="19"/>
    </row>
    <row r="50" spans="1:9">
      <c r="A50" s="21" t="s">
        <v>0</v>
      </c>
      <c r="B50" s="32">
        <f>SUM(B22:B49)</f>
        <v>11998250</v>
      </c>
      <c r="C50" s="32">
        <f>SUM(C22:C49)</f>
        <v>3151506</v>
      </c>
      <c r="D50" s="32">
        <f>SUM(D22:D49)</f>
        <v>15149756</v>
      </c>
      <c r="E50" s="32">
        <f>SUM(E22:E49)</f>
        <v>10006627.880000001</v>
      </c>
      <c r="F50" s="23">
        <f>SUM(F22:F49)</f>
        <v>16986626</v>
      </c>
      <c r="G50" s="60">
        <f>SUM(G21:G49)</f>
        <v>10012000</v>
      </c>
      <c r="I50" s="22"/>
    </row>
    <row r="51" spans="1:9">
      <c r="A51" s="12" t="s">
        <v>35</v>
      </c>
      <c r="B51" s="4">
        <v>8450000</v>
      </c>
      <c r="C51" s="19">
        <f>-61024</f>
        <v>-61024</v>
      </c>
      <c r="D51" s="19">
        <f>C51+B51</f>
        <v>8388976</v>
      </c>
      <c r="E51" s="19">
        <v>4032371.99</v>
      </c>
      <c r="F51" s="4">
        <v>15865628</v>
      </c>
      <c r="G51" s="59">
        <f>5000000+2000000</f>
        <v>7000000</v>
      </c>
    </row>
    <row r="52" spans="1:9">
      <c r="A52" s="11" t="s">
        <v>41</v>
      </c>
      <c r="B52" s="4">
        <v>13000</v>
      </c>
      <c r="C52" s="18">
        <f>61024-40000</f>
        <v>21024</v>
      </c>
      <c r="D52" s="19">
        <f>C52+B52</f>
        <v>34024</v>
      </c>
      <c r="E52" s="19">
        <v>607.95000000000005</v>
      </c>
      <c r="F52" s="4">
        <v>2000</v>
      </c>
      <c r="G52" s="19">
        <v>2000</v>
      </c>
    </row>
    <row r="53" spans="1:9">
      <c r="A53" s="17" t="s">
        <v>36</v>
      </c>
      <c r="B53" s="15">
        <f>SUM(B51:B52)</f>
        <v>8463000</v>
      </c>
      <c r="C53" s="15">
        <f t="shared" ref="C53:G53" si="2">SUM(C51:C52)</f>
        <v>-40000</v>
      </c>
      <c r="D53" s="15">
        <f t="shared" si="2"/>
        <v>8423000</v>
      </c>
      <c r="E53" s="15">
        <f t="shared" si="2"/>
        <v>4032979.9400000004</v>
      </c>
      <c r="F53" s="15">
        <f t="shared" si="2"/>
        <v>15867628</v>
      </c>
      <c r="G53" s="62">
        <f t="shared" si="2"/>
        <v>7002000</v>
      </c>
    </row>
    <row r="54" spans="1:9">
      <c r="A54" s="17" t="s">
        <v>37</v>
      </c>
      <c r="B54" s="15">
        <f t="shared" ref="B54:G54" si="3">B50+B53+B20</f>
        <v>25904300</v>
      </c>
      <c r="C54" s="15">
        <f t="shared" si="3"/>
        <v>1027951</v>
      </c>
      <c r="D54" s="15">
        <f t="shared" si="3"/>
        <v>26932251</v>
      </c>
      <c r="E54" s="15">
        <f t="shared" si="3"/>
        <v>17281022.740000002</v>
      </c>
      <c r="F54" s="15">
        <f t="shared" si="3"/>
        <v>36979015</v>
      </c>
      <c r="G54" s="62">
        <f t="shared" si="3"/>
        <v>19087000</v>
      </c>
    </row>
    <row r="55" spans="1:9">
      <c r="A55" s="50" t="s">
        <v>6</v>
      </c>
      <c r="B55" s="51"/>
      <c r="C55" s="51"/>
      <c r="D55" s="51"/>
      <c r="E55" s="51"/>
      <c r="F55" s="51"/>
      <c r="G55" s="52"/>
    </row>
    <row r="56" spans="1:9" ht="24">
      <c r="A56" s="11" t="s">
        <v>63</v>
      </c>
      <c r="B56" s="5">
        <v>28900000</v>
      </c>
      <c r="C56" s="19">
        <f>2721000+5900000+950000</f>
        <v>9571000</v>
      </c>
      <c r="D56" s="34">
        <f>C56+B56</f>
        <v>38471000</v>
      </c>
      <c r="E56" s="34">
        <v>28055146.940000001</v>
      </c>
      <c r="F56" s="5">
        <v>35000000</v>
      </c>
      <c r="G56" s="59">
        <f>G57+G58+G59+G60</f>
        <v>28534531</v>
      </c>
    </row>
    <row r="57" spans="1:9" ht="12.75" customHeight="1">
      <c r="A57" s="11" t="s">
        <v>58</v>
      </c>
      <c r="B57" s="5"/>
      <c r="C57" s="19"/>
      <c r="D57" s="34"/>
      <c r="E57" s="34"/>
      <c r="F57" s="19">
        <v>16000000</v>
      </c>
      <c r="G57" s="59">
        <v>12000000</v>
      </c>
    </row>
    <row r="58" spans="1:9" ht="13.5" customHeight="1">
      <c r="A58" s="11" t="s">
        <v>69</v>
      </c>
      <c r="B58" s="5"/>
      <c r="C58" s="19"/>
      <c r="D58" s="34"/>
      <c r="E58" s="34"/>
      <c r="F58" s="19">
        <v>7000000</v>
      </c>
      <c r="G58" s="59">
        <v>5000000</v>
      </c>
    </row>
    <row r="59" spans="1:9" ht="12.75" customHeight="1">
      <c r="A59" s="11" t="s">
        <v>59</v>
      </c>
      <c r="B59" s="5"/>
      <c r="C59" s="19"/>
      <c r="D59" s="34"/>
      <c r="E59" s="34"/>
      <c r="F59" s="19">
        <v>12000000</v>
      </c>
      <c r="G59" s="59">
        <v>10534531</v>
      </c>
    </row>
    <row r="60" spans="1:9" ht="37.5" customHeight="1">
      <c r="A60" s="67" t="s">
        <v>70</v>
      </c>
      <c r="B60" s="5"/>
      <c r="C60" s="19"/>
      <c r="D60" s="34"/>
      <c r="E60" s="34"/>
      <c r="F60" s="19"/>
      <c r="G60" s="59">
        <v>1000000</v>
      </c>
    </row>
    <row r="61" spans="1:9">
      <c r="A61" s="11" t="s">
        <v>1</v>
      </c>
      <c r="B61" s="5">
        <v>1040000</v>
      </c>
      <c r="C61" s="19"/>
      <c r="D61" s="34">
        <f>B61</f>
        <v>1040000</v>
      </c>
      <c r="E61" s="34">
        <v>1040000</v>
      </c>
      <c r="F61" s="5">
        <v>1200000</v>
      </c>
      <c r="G61" s="19">
        <v>1000000</v>
      </c>
    </row>
    <row r="62" spans="1:9">
      <c r="A62" s="14" t="s">
        <v>7</v>
      </c>
      <c r="B62" s="16">
        <f>SUM(B56:B61)</f>
        <v>29940000</v>
      </c>
      <c r="C62" s="16">
        <f t="shared" ref="C62:E62" si="4">SUM(C56:C61)</f>
        <v>9571000</v>
      </c>
      <c r="D62" s="16">
        <f t="shared" si="4"/>
        <v>39511000</v>
      </c>
      <c r="E62" s="16">
        <f t="shared" si="4"/>
        <v>29095146.940000001</v>
      </c>
      <c r="F62" s="16">
        <f>SUM(F56)+F61</f>
        <v>36200000</v>
      </c>
      <c r="G62" s="16">
        <f>SUM(G56)+G61</f>
        <v>29534531</v>
      </c>
    </row>
    <row r="63" spans="1:9">
      <c r="A63" s="63" t="s">
        <v>42</v>
      </c>
      <c r="B63" s="64">
        <f>B54+B62</f>
        <v>55844300</v>
      </c>
      <c r="C63" s="64">
        <f t="shared" ref="C63:F63" si="5">C54+C62</f>
        <v>10598951</v>
      </c>
      <c r="D63" s="64">
        <f t="shared" si="5"/>
        <v>66443251</v>
      </c>
      <c r="E63" s="64">
        <f t="shared" si="5"/>
        <v>46376169.680000007</v>
      </c>
      <c r="F63" s="64">
        <f t="shared" si="5"/>
        <v>73179015</v>
      </c>
      <c r="G63" s="64">
        <f>G54+G62</f>
        <v>48621531</v>
      </c>
      <c r="H63" s="22"/>
    </row>
    <row r="64" spans="1:9">
      <c r="A64" s="18"/>
      <c r="B64" s="4"/>
      <c r="C64" s="18"/>
      <c r="D64" s="18"/>
      <c r="E64" s="18"/>
      <c r="F64" s="18"/>
      <c r="G64" s="19"/>
      <c r="H64" s="49"/>
    </row>
    <row r="65" spans="1:7" ht="25.5">
      <c r="A65" s="41" t="s">
        <v>62</v>
      </c>
      <c r="B65" s="42">
        <v>110000</v>
      </c>
      <c r="C65" s="42"/>
      <c r="D65" s="42">
        <v>110000</v>
      </c>
      <c r="E65" s="42">
        <v>110000</v>
      </c>
      <c r="F65" s="42">
        <v>110000</v>
      </c>
      <c r="G65" s="42">
        <v>110000</v>
      </c>
    </row>
    <row r="66" spans="1:7">
      <c r="A66" s="18" t="s">
        <v>60</v>
      </c>
      <c r="B66" s="42">
        <v>17242709.41</v>
      </c>
      <c r="C66" s="42">
        <f>D66-B66</f>
        <v>1572908.620000001</v>
      </c>
      <c r="D66" s="42">
        <v>18815618.030000001</v>
      </c>
      <c r="E66" s="42">
        <v>0</v>
      </c>
      <c r="F66" s="42">
        <v>5329528</v>
      </c>
      <c r="G66" s="65">
        <v>4400000</v>
      </c>
    </row>
    <row r="67" spans="1:7" s="45" customFormat="1">
      <c r="A67" s="43" t="s">
        <v>61</v>
      </c>
      <c r="B67" s="44"/>
      <c r="C67" s="44"/>
      <c r="D67" s="44"/>
      <c r="E67" s="44">
        <f>E63+E65+E66</f>
        <v>46486169.680000007</v>
      </c>
      <c r="F67" s="44">
        <f>F63+F65+F66</f>
        <v>78618543</v>
      </c>
      <c r="G67" s="66">
        <f>G63+G65+G66</f>
        <v>53131531</v>
      </c>
    </row>
  </sheetData>
  <mergeCells count="5">
    <mergeCell ref="A55:G55"/>
    <mergeCell ref="A1:G1"/>
    <mergeCell ref="A2:G2"/>
    <mergeCell ref="A3:G3"/>
    <mergeCell ref="A7:G7"/>
  </mergeCells>
  <phoneticPr fontId="11" type="noConversion"/>
  <pageMargins left="0.35433070866141736" right="0.19685039370078741" top="0.15748031496062992" bottom="0.31496062992125984" header="0.15748031496062992" footer="0.31496062992125984"/>
  <pageSetup paperSize="9" scale="94" fitToHeight="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з резервом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admin</cp:lastModifiedBy>
  <cp:lastPrinted>2023-12-05T14:14:29Z</cp:lastPrinted>
  <dcterms:created xsi:type="dcterms:W3CDTF">2008-01-25T10:17:29Z</dcterms:created>
  <dcterms:modified xsi:type="dcterms:W3CDTF">2023-12-05T14:15:29Z</dcterms:modified>
</cp:coreProperties>
</file>