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Public\Депутатам - Проект бюджету на 2025 рік - 03.12.24 після комісії\"/>
    </mc:Choice>
  </mc:AlternateContent>
  <xr:revisionPtr revIDLastSave="0" documentId="13_ncr:1_{AE2FA056-64F6-44EC-962B-BCC4023E6AE0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2024-2025 рік" sheetId="106" r:id="rId1"/>
    <sheet name="2024-2025 рік (2)" sheetId="10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0" i="107" l="1"/>
  <c r="J13" i="107"/>
  <c r="K8" i="107"/>
  <c r="K61" i="107" l="1"/>
  <c r="K50" i="107"/>
  <c r="K52" i="107" s="1"/>
  <c r="J50" i="107"/>
  <c r="J52" i="107" s="1"/>
  <c r="L52" i="107"/>
  <c r="L42" i="107"/>
  <c r="L38" i="107"/>
  <c r="J14" i="107"/>
  <c r="K14" i="107"/>
  <c r="L14" i="107"/>
  <c r="I14" i="107"/>
  <c r="L43" i="107" l="1"/>
  <c r="L53" i="107" s="1"/>
  <c r="L58" i="107" s="1"/>
  <c r="L65" i="107" s="1"/>
  <c r="I51" i="107"/>
  <c r="I52" i="107" s="1"/>
  <c r="I42" i="107"/>
  <c r="I34" i="107"/>
  <c r="I17" i="107"/>
  <c r="J38" i="107"/>
  <c r="J42" i="107"/>
  <c r="D50" i="107"/>
  <c r="G45" i="107"/>
  <c r="G52" i="107" s="1"/>
  <c r="C45" i="107"/>
  <c r="D45" i="107" s="1"/>
  <c r="K42" i="107"/>
  <c r="H42" i="107"/>
  <c r="G42" i="107"/>
  <c r="F42" i="107"/>
  <c r="E42" i="107"/>
  <c r="B42" i="107"/>
  <c r="C41" i="107"/>
  <c r="D41" i="107" s="1"/>
  <c r="C40" i="107"/>
  <c r="K38" i="107"/>
  <c r="K43" i="107" s="1"/>
  <c r="H38" i="107"/>
  <c r="F38" i="107"/>
  <c r="B38" i="107"/>
  <c r="E37" i="107"/>
  <c r="C37" i="107"/>
  <c r="D37" i="107" s="1"/>
  <c r="E36" i="107"/>
  <c r="C36" i="107"/>
  <c r="D36" i="107" s="1"/>
  <c r="D35" i="107"/>
  <c r="D34" i="107"/>
  <c r="E33" i="107"/>
  <c r="C33" i="107"/>
  <c r="D33" i="107" s="1"/>
  <c r="E32" i="107"/>
  <c r="C32" i="107"/>
  <c r="D32" i="107" s="1"/>
  <c r="E31" i="107"/>
  <c r="C31" i="107"/>
  <c r="D31" i="107" s="1"/>
  <c r="E30" i="107"/>
  <c r="D30" i="107"/>
  <c r="E29" i="107"/>
  <c r="D29" i="107"/>
  <c r="E28" i="107"/>
  <c r="D28" i="107"/>
  <c r="G27" i="107"/>
  <c r="G38" i="107" s="1"/>
  <c r="E27" i="107"/>
  <c r="C27" i="107"/>
  <c r="D27" i="107" s="1"/>
  <c r="E26" i="107"/>
  <c r="C26" i="107"/>
  <c r="D26" i="107" s="1"/>
  <c r="E25" i="107"/>
  <c r="D25" i="107"/>
  <c r="E24" i="107"/>
  <c r="C24" i="107"/>
  <c r="D24" i="107" s="1"/>
  <c r="C23" i="107"/>
  <c r="D23" i="107" s="1"/>
  <c r="E22" i="107"/>
  <c r="D22" i="107"/>
  <c r="E21" i="107"/>
  <c r="C21" i="107"/>
  <c r="E20" i="107"/>
  <c r="D20" i="107"/>
  <c r="E19" i="107"/>
  <c r="D19" i="107"/>
  <c r="E18" i="107"/>
  <c r="D18" i="107"/>
  <c r="E17" i="107"/>
  <c r="D17" i="107"/>
  <c r="E16" i="107"/>
  <c r="D16" i="107"/>
  <c r="E15" i="107"/>
  <c r="D15" i="107"/>
  <c r="H14" i="107"/>
  <c r="G14" i="107"/>
  <c r="C13" i="107"/>
  <c r="D13" i="107" s="1"/>
  <c r="E12" i="107"/>
  <c r="C12" i="107"/>
  <c r="D12" i="107" s="1"/>
  <c r="E11" i="107"/>
  <c r="D11" i="107"/>
  <c r="E10" i="107"/>
  <c r="C10" i="107"/>
  <c r="D10" i="107" s="1"/>
  <c r="E9" i="107"/>
  <c r="C9" i="107"/>
  <c r="D9" i="107" s="1"/>
  <c r="E8" i="107"/>
  <c r="C8" i="107"/>
  <c r="D8" i="107" s="1"/>
  <c r="K49" i="106"/>
  <c r="K50" i="106" s="1"/>
  <c r="K41" i="106"/>
  <c r="K17" i="106"/>
  <c r="K26" i="106"/>
  <c r="K25" i="106"/>
  <c r="K31" i="106"/>
  <c r="K34" i="106"/>
  <c r="K15" i="106"/>
  <c r="K10" i="106"/>
  <c r="J50" i="106"/>
  <c r="G44" i="106"/>
  <c r="G50" i="106" s="1"/>
  <c r="J38" i="106"/>
  <c r="J14" i="106"/>
  <c r="G27" i="106"/>
  <c r="G38" i="106" s="1"/>
  <c r="G14" i="106"/>
  <c r="C13" i="106"/>
  <c r="D13" i="106" s="1"/>
  <c r="E12" i="106"/>
  <c r="C12" i="106"/>
  <c r="D12" i="106" s="1"/>
  <c r="H14" i="106"/>
  <c r="I14" i="106"/>
  <c r="H38" i="106"/>
  <c r="I38" i="106"/>
  <c r="J41" i="106"/>
  <c r="H41" i="106"/>
  <c r="I41" i="106"/>
  <c r="G41" i="106"/>
  <c r="E36" i="106"/>
  <c r="D48" i="106"/>
  <c r="C44" i="106"/>
  <c r="F41" i="106"/>
  <c r="E41" i="106"/>
  <c r="B41" i="106"/>
  <c r="C40" i="106"/>
  <c r="D40" i="106" s="1"/>
  <c r="C39" i="106"/>
  <c r="F38" i="106"/>
  <c r="B38" i="106"/>
  <c r="E37" i="106"/>
  <c r="C37" i="106"/>
  <c r="D37" i="106" s="1"/>
  <c r="C36" i="106"/>
  <c r="D36" i="106" s="1"/>
  <c r="D35" i="106"/>
  <c r="D34" i="106"/>
  <c r="E33" i="106"/>
  <c r="C33" i="106"/>
  <c r="D33" i="106" s="1"/>
  <c r="E32" i="106"/>
  <c r="C32" i="106"/>
  <c r="D32" i="106" s="1"/>
  <c r="E31" i="106"/>
  <c r="C31" i="106"/>
  <c r="D31" i="106" s="1"/>
  <c r="E30" i="106"/>
  <c r="D30" i="106"/>
  <c r="E29" i="106"/>
  <c r="D29" i="106"/>
  <c r="E28" i="106"/>
  <c r="D28" i="106"/>
  <c r="E27" i="106"/>
  <c r="C27" i="106"/>
  <c r="D27" i="106" s="1"/>
  <c r="E26" i="106"/>
  <c r="C26" i="106"/>
  <c r="D26" i="106" s="1"/>
  <c r="E25" i="106"/>
  <c r="D25" i="106"/>
  <c r="E24" i="106"/>
  <c r="C24" i="106"/>
  <c r="D24" i="106" s="1"/>
  <c r="C23" i="106"/>
  <c r="D23" i="106" s="1"/>
  <c r="E22" i="106"/>
  <c r="D22" i="106"/>
  <c r="E21" i="106"/>
  <c r="C21" i="106"/>
  <c r="E20" i="106"/>
  <c r="D20" i="106"/>
  <c r="E19" i="106"/>
  <c r="D19" i="106"/>
  <c r="E18" i="106"/>
  <c r="D18" i="106"/>
  <c r="E17" i="106"/>
  <c r="D17" i="106"/>
  <c r="E16" i="106"/>
  <c r="D16" i="106"/>
  <c r="E15" i="106"/>
  <c r="D15" i="106"/>
  <c r="E11" i="106"/>
  <c r="D11" i="106"/>
  <c r="E10" i="106"/>
  <c r="C10" i="106"/>
  <c r="D10" i="106" s="1"/>
  <c r="E9" i="106"/>
  <c r="C9" i="106"/>
  <c r="D9" i="106" s="1"/>
  <c r="E8" i="106"/>
  <c r="C8" i="106"/>
  <c r="D8" i="106" s="1"/>
  <c r="J42" i="106" l="1"/>
  <c r="K38" i="106"/>
  <c r="K42" i="106" s="1"/>
  <c r="B43" i="107"/>
  <c r="B53" i="107" s="1"/>
  <c r="C42" i="107"/>
  <c r="J43" i="107"/>
  <c r="J53" i="107" s="1"/>
  <c r="F43" i="107"/>
  <c r="F53" i="107" s="1"/>
  <c r="I38" i="107"/>
  <c r="I43" i="107" s="1"/>
  <c r="I53" i="107" s="1"/>
  <c r="E38" i="107"/>
  <c r="E43" i="107" s="1"/>
  <c r="E53" i="107" s="1"/>
  <c r="G43" i="107"/>
  <c r="K51" i="106"/>
  <c r="C38" i="107"/>
  <c r="K53" i="107"/>
  <c r="K58" i="107" s="1"/>
  <c r="K65" i="107" s="1"/>
  <c r="H43" i="107"/>
  <c r="H53" i="107" s="1"/>
  <c r="G53" i="107"/>
  <c r="D21" i="107"/>
  <c r="D38" i="107" s="1"/>
  <c r="D40" i="107"/>
  <c r="D42" i="107" s="1"/>
  <c r="G42" i="106"/>
  <c r="G51" i="106" s="1"/>
  <c r="J51" i="106"/>
  <c r="E38" i="106"/>
  <c r="E42" i="106" s="1"/>
  <c r="E51" i="106" s="1"/>
  <c r="C38" i="106"/>
  <c r="F42" i="106"/>
  <c r="F51" i="106" s="1"/>
  <c r="H42" i="106"/>
  <c r="H51" i="106" s="1"/>
  <c r="C41" i="106"/>
  <c r="B42" i="106"/>
  <c r="B51" i="106" s="1"/>
  <c r="I42" i="106"/>
  <c r="I51" i="106" s="1"/>
  <c r="D21" i="106"/>
  <c r="D38" i="106" s="1"/>
  <c r="D39" i="106"/>
  <c r="D41" i="106" s="1"/>
  <c r="D44" i="106"/>
  <c r="C43" i="107" l="1"/>
  <c r="C53" i="107" s="1"/>
  <c r="D43" i="107"/>
  <c r="D53" i="107" s="1"/>
  <c r="C42" i="106"/>
  <c r="C51" i="106" s="1"/>
  <c r="D42" i="106"/>
  <c r="D51" i="106" s="1"/>
</calcChain>
</file>

<file path=xl/sharedStrings.xml><?xml version="1.0" encoding="utf-8"?>
<sst xmlns="http://schemas.openxmlformats.org/spreadsheetml/2006/main" count="137" uniqueCount="81">
  <si>
    <t>ВСЬОГО  по  КЕКВ 2240</t>
  </si>
  <si>
    <t>Розмітка вулиць</t>
  </si>
  <si>
    <t>Вивіз стихійних сміттєзвалищ</t>
  </si>
  <si>
    <t xml:space="preserve">Поточний ремонт малих архітектурних форм по місту </t>
  </si>
  <si>
    <t>Поточний ремонт дитячих майданчиків</t>
  </si>
  <si>
    <t>Додаток № 4</t>
  </si>
  <si>
    <t>БЛАГОУСТРІЙ</t>
  </si>
  <si>
    <t>УТРИМАННЯ ДОРІГ</t>
  </si>
  <si>
    <t>Обслуговування відеокамер</t>
  </si>
  <si>
    <t>Направлення видатків</t>
  </si>
  <si>
    <t>грн.</t>
  </si>
  <si>
    <t>Сіль для промислового перероблення  ДСТУ 4246 2003 кам'яна сорт вищий, крупність 3 без пакування /4 вагона/</t>
  </si>
  <si>
    <t>Закупівля знаків згідно проекту ОДР</t>
  </si>
  <si>
    <t>Придбання елементів благоустрою</t>
  </si>
  <si>
    <t>Оплата послуг інтернету на відеокамерах</t>
  </si>
  <si>
    <t>Поховання безрідних</t>
  </si>
  <si>
    <t>Поточний ремонт пам’ятників та пам’ятних знаків</t>
  </si>
  <si>
    <t xml:space="preserve">Поточний ремонт автобусних зупинок </t>
  </si>
  <si>
    <t>Поточний ремонт  територій посадочних платформ</t>
  </si>
  <si>
    <t xml:space="preserve">Миття автобусних зупинок </t>
  </si>
  <si>
    <t>Встановлення дорожніх знаків</t>
  </si>
  <si>
    <t>Консервація, розконсервація  фонтанів</t>
  </si>
  <si>
    <t>Обслуговування фонтанів</t>
  </si>
  <si>
    <t>Послуги з технічного обслуговування електроустаткування мереж вуличного освітлення</t>
  </si>
  <si>
    <t>Монтування ліній вуличного освітлення</t>
  </si>
  <si>
    <t xml:space="preserve">Транспортні послуги </t>
  </si>
  <si>
    <t>Видалення дерев, корчування пнів, розкряжування деревини</t>
  </si>
  <si>
    <t>Викошування газонів</t>
  </si>
  <si>
    <t xml:space="preserve">Підрізання дерев </t>
  </si>
  <si>
    <t>Вулична електроенергія</t>
  </si>
  <si>
    <t>Всого по енергоносіях</t>
  </si>
  <si>
    <t>Разом по благоустрою</t>
  </si>
  <si>
    <t>(загальний фонд)</t>
  </si>
  <si>
    <t>Інше</t>
  </si>
  <si>
    <t>Природний газ</t>
  </si>
  <si>
    <t xml:space="preserve">Разом по УЖКГ та Б </t>
  </si>
  <si>
    <t xml:space="preserve">Придбання контейнерів /48,0/ та урн/46,0/ для сміття </t>
  </si>
  <si>
    <t>Розподіл видатків на благоустрій та утримання доріг на 2024 рік</t>
  </si>
  <si>
    <t>Встановлення бар’єрних огороджень разом з придбанням</t>
  </si>
  <si>
    <t>придбання ліхтарів</t>
  </si>
  <si>
    <t>Утримання вулично-шляхової мережі міста</t>
  </si>
  <si>
    <t>ямковий</t>
  </si>
  <si>
    <t>відсипка</t>
  </si>
  <si>
    <t>внутріквартальні</t>
  </si>
  <si>
    <t>встановлення пристроїв примусового зниження швидкості</t>
  </si>
  <si>
    <t>встановлення консолей освітлення пішохідних переходів</t>
  </si>
  <si>
    <t>Потреба на 2024 рік</t>
  </si>
  <si>
    <t xml:space="preserve">Початковий бюджет на 2023 </t>
  </si>
  <si>
    <t>Додаткові ліміти на 2023</t>
  </si>
  <si>
    <t>Уточнений бюджет на 2023 рік</t>
  </si>
  <si>
    <t>Каса на 01.11.2023рік</t>
  </si>
  <si>
    <t>Кошторис на 2024 рік</t>
  </si>
  <si>
    <t>Придбання лежачих поліцейських катафоти обмежувальні стовпчики</t>
  </si>
  <si>
    <t>пот рем тротуару по вул Овдіївська до ЗОШ № 13</t>
  </si>
  <si>
    <t>ВСЬОГО по 1217461</t>
  </si>
  <si>
    <t>2025 рік</t>
  </si>
  <si>
    <t>КАСОВІ НА 01.10.2024</t>
  </si>
  <si>
    <t>Пропозиція бюдж.ком.</t>
  </si>
  <si>
    <t>Придбання ліхтарів</t>
  </si>
  <si>
    <t>Придбання лежачих поліцейських, катафоти, обмежувальні стовпчики</t>
  </si>
  <si>
    <t>Встановлення консолей освітлення пішохідних переходів</t>
  </si>
  <si>
    <t>Встановлення пристроїв примусового зниження швидкості</t>
  </si>
  <si>
    <t>Поточний  ремонт  тротуару по вул Овдіївська до ЗОШ № 13</t>
  </si>
  <si>
    <t>Пропозиція комісії</t>
  </si>
  <si>
    <t>Проект на 2025 рік</t>
  </si>
  <si>
    <t>Потреба  на 2025 рік</t>
  </si>
  <si>
    <t>Резервний фонд</t>
  </si>
  <si>
    <t>Інша субвенція з місцевого бюджету районному бюджету Ніжинського району для Ніжинської районної ради на оплату спожитої електроенергії по будівлі за адресою м. Ніжин, площа Івана Франка,1</t>
  </si>
  <si>
    <t>Інша субвенція з місцевого бюджету районному бюджету Ніжинського району на співфінансування  КУ Ніжинської районної ради Трудового архіву Ніжинського району</t>
  </si>
  <si>
    <t>Разом</t>
  </si>
  <si>
    <t>Розподіл видатків на благоустрій, утримання доріг та інші видатки на 2025 рік</t>
  </si>
  <si>
    <t xml:space="preserve">                                                                                                                                     Додаток № 4</t>
  </si>
  <si>
    <t>Касові видатки на 01.11.2024</t>
  </si>
  <si>
    <t>ВСЬОГО по КЕКВ 2210</t>
  </si>
  <si>
    <t>Ямковий ремонт</t>
  </si>
  <si>
    <t>Внутріквартальні дороги</t>
  </si>
  <si>
    <t>Інші видатки</t>
  </si>
  <si>
    <t>Реверсна дотація</t>
  </si>
  <si>
    <t xml:space="preserve">Придбання контейнерів /50,0/ та урн/46,0/ для сміття </t>
  </si>
  <si>
    <t>Поточний ремонт тротуарів</t>
  </si>
  <si>
    <t>Грейдерування та відсипка доріг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</si>
</sst>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1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5" fillId="0" borderId="0"/>
    <xf numFmtId="0" fontId="1" fillId="0" borderId="0"/>
    <xf numFmtId="0" fontId="14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/>
    <xf numFmtId="3" fontId="3" fillId="0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0" xfId="0" applyFont="1"/>
    <xf numFmtId="0" fontId="8" fillId="0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3" fontId="3" fillId="0" borderId="0" xfId="0" applyNumberFormat="1" applyFont="1" applyAlignment="1">
      <alignment horizontal="center"/>
    </xf>
    <xf numFmtId="3" fontId="4" fillId="2" borderId="1" xfId="0" applyNumberFormat="1" applyFont="1" applyFill="1" applyBorder="1" applyAlignment="1">
      <alignment horizontal="center" wrapText="1"/>
    </xf>
    <xf numFmtId="0" fontId="3" fillId="0" borderId="1" xfId="0" applyFont="1" applyBorder="1"/>
    <xf numFmtId="4" fontId="3" fillId="0" borderId="1" xfId="0" applyNumberFormat="1" applyFont="1" applyBorder="1"/>
    <xf numFmtId="0" fontId="9" fillId="0" borderId="1" xfId="0" applyFont="1" applyBorder="1"/>
    <xf numFmtId="0" fontId="3" fillId="0" borderId="1" xfId="0" applyFont="1" applyBorder="1" applyAlignment="1">
      <alignment wrapText="1"/>
    </xf>
    <xf numFmtId="4" fontId="3" fillId="0" borderId="0" xfId="0" applyNumberFormat="1" applyFont="1"/>
    <xf numFmtId="4" fontId="3" fillId="0" borderId="1" xfId="0" applyNumberFormat="1" applyFont="1" applyBorder="1" applyAlignment="1">
      <alignment wrapText="1"/>
    </xf>
    <xf numFmtId="4" fontId="9" fillId="0" borderId="1" xfId="0" applyNumberFormat="1" applyFont="1" applyBorder="1"/>
    <xf numFmtId="4" fontId="3" fillId="0" borderId="1" xfId="0" applyNumberFormat="1" applyFont="1" applyFill="1" applyBorder="1"/>
    <xf numFmtId="0" fontId="6" fillId="0" borderId="1" xfId="0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Fill="1" applyBorder="1"/>
    <xf numFmtId="4" fontId="12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center"/>
    </xf>
    <xf numFmtId="3" fontId="3" fillId="3" borderId="1" xfId="0" applyNumberFormat="1" applyFont="1" applyFill="1" applyBorder="1" applyAlignment="1">
      <alignment horizontal="center" wrapText="1"/>
    </xf>
    <xf numFmtId="3" fontId="3" fillId="3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4" fontId="3" fillId="4" borderId="1" xfId="0" applyNumberFormat="1" applyFont="1" applyFill="1" applyBorder="1"/>
    <xf numFmtId="4" fontId="3" fillId="5" borderId="1" xfId="0" applyNumberFormat="1" applyFont="1" applyFill="1" applyBorder="1"/>
    <xf numFmtId="4" fontId="3" fillId="6" borderId="1" xfId="0" applyNumberFormat="1" applyFont="1" applyFill="1" applyBorder="1"/>
    <xf numFmtId="4" fontId="3" fillId="7" borderId="1" xfId="0" applyNumberFormat="1" applyFont="1" applyFill="1" applyBorder="1"/>
    <xf numFmtId="4" fontId="3" fillId="8" borderId="1" xfId="0" applyNumberFormat="1" applyFont="1" applyFill="1" applyBorder="1"/>
    <xf numFmtId="4" fontId="3" fillId="9" borderId="1" xfId="0" applyNumberFormat="1" applyFont="1" applyFill="1" applyBorder="1"/>
    <xf numFmtId="3" fontId="4" fillId="0" borderId="1" xfId="0" applyNumberFormat="1" applyFont="1" applyFill="1" applyBorder="1" applyAlignment="1">
      <alignment horizontal="center" wrapText="1"/>
    </xf>
    <xf numFmtId="3" fontId="3" fillId="6" borderId="1" xfId="0" applyNumberFormat="1" applyFont="1" applyFill="1" applyBorder="1" applyAlignment="1">
      <alignment horizontal="center" wrapText="1"/>
    </xf>
    <xf numFmtId="3" fontId="3" fillId="10" borderId="1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" fontId="13" fillId="0" borderId="1" xfId="0" applyNumberFormat="1" applyFont="1" applyBorder="1"/>
    <xf numFmtId="0" fontId="7" fillId="0" borderId="1" xfId="0" applyFont="1" applyFill="1" applyBorder="1" applyAlignment="1">
      <alignment horizontal="left" wrapText="1"/>
    </xf>
    <xf numFmtId="4" fontId="4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/>
    <xf numFmtId="0" fontId="3" fillId="0" borderId="1" xfId="0" applyFont="1" applyFill="1" applyBorder="1"/>
    <xf numFmtId="0" fontId="10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4" fontId="13" fillId="0" borderId="0" xfId="0" applyNumberFormat="1" applyFont="1" applyAlignment="1">
      <alignment wrapText="1"/>
    </xf>
    <xf numFmtId="3" fontId="11" fillId="0" borderId="1" xfId="0" applyNumberFormat="1" applyFont="1" applyFill="1" applyBorder="1" applyAlignment="1">
      <alignment horizontal="center"/>
    </xf>
    <xf numFmtId="3" fontId="1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/>
    <xf numFmtId="4" fontId="3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/>
    <xf numFmtId="0" fontId="4" fillId="0" borderId="0" xfId="0" applyFont="1" applyBorder="1" applyAlignment="1">
      <alignment horizontal="center"/>
    </xf>
    <xf numFmtId="165" fontId="3" fillId="11" borderId="1" xfId="0" applyNumberFormat="1" applyFont="1" applyFill="1" applyBorder="1" applyAlignment="1">
      <alignment horizontal="center" wrapText="1"/>
    </xf>
    <xf numFmtId="165" fontId="3" fillId="11" borderId="1" xfId="0" applyNumberFormat="1" applyFont="1" applyFill="1" applyBorder="1" applyAlignment="1">
      <alignment horizontal="center"/>
    </xf>
    <xf numFmtId="165" fontId="10" fillId="11" borderId="1" xfId="0" applyNumberFormat="1" applyFont="1" applyFill="1" applyBorder="1" applyAlignment="1">
      <alignment horizontal="center" wrapText="1"/>
    </xf>
    <xf numFmtId="165" fontId="4" fillId="11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justify" vertical="justify"/>
    </xf>
    <xf numFmtId="0" fontId="6" fillId="0" borderId="1" xfId="0" applyFont="1" applyFill="1" applyBorder="1" applyAlignment="1">
      <alignment horizontal="left" wrapText="1"/>
    </xf>
    <xf numFmtId="0" fontId="4" fillId="0" borderId="1" xfId="0" applyFont="1" applyBorder="1"/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justify" vertical="justify"/>
    </xf>
    <xf numFmtId="0" fontId="4" fillId="0" borderId="1" xfId="0" applyFont="1" applyBorder="1" applyAlignment="1">
      <alignment horizontal="justify" vertical="justify"/>
    </xf>
    <xf numFmtId="4" fontId="3" fillId="11" borderId="0" xfId="0" applyNumberFormat="1" applyFont="1" applyFill="1"/>
    <xf numFmtId="0" fontId="3" fillId="11" borderId="1" xfId="0" applyFont="1" applyFill="1" applyBorder="1" applyAlignment="1">
      <alignment horizontal="center" vertical="center" wrapText="1"/>
    </xf>
    <xf numFmtId="0" fontId="9" fillId="11" borderId="1" xfId="0" applyFont="1" applyFill="1" applyBorder="1"/>
    <xf numFmtId="0" fontId="3" fillId="11" borderId="1" xfId="0" applyFont="1" applyFill="1" applyBorder="1"/>
    <xf numFmtId="165" fontId="4" fillId="11" borderId="1" xfId="0" applyNumberFormat="1" applyFont="1" applyFill="1" applyBorder="1" applyAlignment="1">
      <alignment horizontal="center" vertical="center"/>
    </xf>
    <xf numFmtId="165" fontId="3" fillId="11" borderId="0" xfId="0" applyNumberFormat="1" applyFont="1" applyFill="1" applyAlignment="1">
      <alignment horizontal="center"/>
    </xf>
    <xf numFmtId="1" fontId="3" fillId="11" borderId="1" xfId="0" applyNumberFormat="1" applyFont="1" applyFill="1" applyBorder="1" applyAlignment="1">
      <alignment horizontal="center" vertical="center" wrapText="1"/>
    </xf>
    <xf numFmtId="4" fontId="3" fillId="11" borderId="1" xfId="0" applyNumberFormat="1" applyFont="1" applyFill="1" applyBorder="1" applyAlignment="1">
      <alignment horizontal="center" vertical="center" wrapText="1"/>
    </xf>
    <xf numFmtId="4" fontId="9" fillId="11" borderId="1" xfId="0" applyNumberFormat="1" applyFont="1" applyFill="1" applyBorder="1"/>
    <xf numFmtId="0" fontId="10" fillId="11" borderId="1" xfId="0" applyFont="1" applyFill="1" applyBorder="1" applyAlignment="1">
      <alignment horizontal="center"/>
    </xf>
    <xf numFmtId="4" fontId="3" fillId="11" borderId="1" xfId="0" applyNumberFormat="1" applyFont="1" applyFill="1" applyBorder="1"/>
    <xf numFmtId="165" fontId="4" fillId="11" borderId="1" xfId="0" applyNumberFormat="1" applyFont="1" applyFill="1" applyBorder="1" applyAlignment="1">
      <alignment horizontal="center" wrapText="1"/>
    </xf>
    <xf numFmtId="165" fontId="13" fillId="11" borderId="0" xfId="0" applyNumberFormat="1" applyFont="1" applyFill="1" applyAlignment="1">
      <alignment horizontal="center" wrapText="1"/>
    </xf>
    <xf numFmtId="165" fontId="13" fillId="11" borderId="1" xfId="0" applyNumberFormat="1" applyFont="1" applyFill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</cellXfs>
  <cellStyles count="7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  <cellStyle name="Финансовый 2" xfId="5" xr:uid="{00000000-0005-0000-0000-000005000000}"/>
    <cellStyle name="Финансовый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</sheetPr>
  <dimension ref="A1:N53"/>
  <sheetViews>
    <sheetView zoomScale="160" zoomScaleNormal="160" workbookViewId="0">
      <selection activeCell="K8" sqref="K8"/>
    </sheetView>
  </sheetViews>
  <sheetFormatPr defaultColWidth="9.109375" defaultRowHeight="13.2" x14ac:dyDescent="0.25"/>
  <cols>
    <col min="1" max="1" width="43" style="2" customWidth="1"/>
    <col min="2" max="2" width="13.33203125" style="2" hidden="1" customWidth="1"/>
    <col min="3" max="3" width="12.109375" style="2" hidden="1" customWidth="1"/>
    <col min="4" max="4" width="12.44140625" style="2" hidden="1" customWidth="1"/>
    <col min="5" max="5" width="12.33203125" style="2" hidden="1" customWidth="1"/>
    <col min="6" max="6" width="11.88671875" style="2" hidden="1" customWidth="1"/>
    <col min="7" max="7" width="12.44140625" style="16" hidden="1" customWidth="1"/>
    <col min="8" max="8" width="0.33203125" style="16" hidden="1" customWidth="1"/>
    <col min="9" max="9" width="12.6640625" style="16" hidden="1" customWidth="1"/>
    <col min="10" max="10" width="14.33203125" style="16" customWidth="1"/>
    <col min="11" max="11" width="12" style="2" bestFit="1" customWidth="1"/>
    <col min="12" max="12" width="12" style="16" bestFit="1" customWidth="1"/>
    <col min="13" max="14" width="11.88671875" style="2" customWidth="1"/>
    <col min="15" max="16384" width="9.109375" style="2"/>
  </cols>
  <sheetData>
    <row r="1" spans="1:14" x14ac:dyDescent="0.25">
      <c r="A1" s="89" t="s">
        <v>5</v>
      </c>
      <c r="B1" s="89"/>
      <c r="C1" s="89"/>
      <c r="D1" s="89"/>
      <c r="E1" s="89"/>
      <c r="F1" s="89"/>
      <c r="G1" s="89"/>
      <c r="H1" s="41"/>
      <c r="I1" s="41"/>
    </row>
    <row r="2" spans="1:14" x14ac:dyDescent="0.25">
      <c r="A2" s="90" t="s">
        <v>37</v>
      </c>
      <c r="B2" s="90"/>
      <c r="C2" s="90"/>
      <c r="D2" s="90"/>
      <c r="E2" s="90"/>
      <c r="F2" s="90"/>
      <c r="G2" s="90"/>
      <c r="H2" s="42"/>
      <c r="I2" s="42"/>
    </row>
    <row r="3" spans="1:14" x14ac:dyDescent="0.25">
      <c r="A3" s="90" t="s">
        <v>32</v>
      </c>
      <c r="B3" s="90"/>
      <c r="C3" s="90"/>
      <c r="D3" s="90"/>
      <c r="E3" s="90"/>
      <c r="F3" s="90"/>
      <c r="G3" s="90"/>
      <c r="H3" s="42"/>
      <c r="I3" s="42"/>
    </row>
    <row r="4" spans="1:14" ht="10.5" customHeight="1" x14ac:dyDescent="0.3">
      <c r="A4" s="1"/>
      <c r="B4" s="42" t="s">
        <v>10</v>
      </c>
    </row>
    <row r="5" spans="1:14" ht="25.5" customHeight="1" x14ac:dyDescent="0.25">
      <c r="A5" s="4" t="s">
        <v>9</v>
      </c>
      <c r="B5" s="4" t="s">
        <v>47</v>
      </c>
      <c r="C5" s="15" t="s">
        <v>48</v>
      </c>
      <c r="D5" s="15" t="s">
        <v>49</v>
      </c>
      <c r="E5" s="15" t="s">
        <v>50</v>
      </c>
      <c r="F5" s="17" t="s">
        <v>46</v>
      </c>
      <c r="G5" s="17" t="s">
        <v>51</v>
      </c>
      <c r="H5" s="31">
        <v>2025</v>
      </c>
      <c r="I5" s="31">
        <v>2026</v>
      </c>
      <c r="J5" s="55" t="s">
        <v>55</v>
      </c>
      <c r="K5" s="56" t="s">
        <v>56</v>
      </c>
      <c r="L5" s="17" t="s">
        <v>57</v>
      </c>
    </row>
    <row r="6" spans="1:14" s="6" customFormat="1" ht="9.6" x14ac:dyDescent="0.2">
      <c r="A6" s="5">
        <v>1</v>
      </c>
      <c r="B6" s="5">
        <v>4</v>
      </c>
      <c r="C6" s="14"/>
      <c r="D6" s="14"/>
      <c r="E6" s="14"/>
      <c r="F6" s="18"/>
      <c r="G6" s="18"/>
      <c r="H6" s="18"/>
      <c r="I6" s="18"/>
      <c r="J6" s="18"/>
      <c r="K6" s="14"/>
      <c r="L6" s="18"/>
    </row>
    <row r="7" spans="1:14" ht="12.75" customHeight="1" x14ac:dyDescent="0.25">
      <c r="A7" s="91" t="s">
        <v>6</v>
      </c>
      <c r="B7" s="92"/>
      <c r="C7" s="92"/>
      <c r="D7" s="92"/>
      <c r="E7" s="92"/>
      <c r="F7" s="92"/>
      <c r="G7" s="93"/>
      <c r="H7" s="29"/>
      <c r="I7" s="29"/>
      <c r="J7" s="13"/>
      <c r="K7" s="12"/>
      <c r="L7" s="13"/>
    </row>
    <row r="8" spans="1:14" ht="25.5" customHeight="1" x14ac:dyDescent="0.25">
      <c r="A8" s="7" t="s">
        <v>36</v>
      </c>
      <c r="B8" s="23">
        <v>63700</v>
      </c>
      <c r="C8" s="19">
        <f>90000+48000</f>
        <v>138000</v>
      </c>
      <c r="D8" s="19">
        <f>C8+B8</f>
        <v>201700</v>
      </c>
      <c r="E8" s="19">
        <f>41994+21700+89922+63700-10000</f>
        <v>207316</v>
      </c>
      <c r="F8" s="24">
        <v>73255</v>
      </c>
      <c r="G8" s="21">
        <v>73000</v>
      </c>
      <c r="H8" s="27">
        <v>75000</v>
      </c>
      <c r="I8" s="27">
        <v>80000</v>
      </c>
      <c r="J8" s="58">
        <v>50000</v>
      </c>
      <c r="K8" s="13">
        <v>72999.960000000006</v>
      </c>
      <c r="L8" s="13"/>
    </row>
    <row r="9" spans="1:14" ht="15" customHeight="1" x14ac:dyDescent="0.25">
      <c r="A9" s="7" t="s">
        <v>39</v>
      </c>
      <c r="B9" s="24">
        <v>257400</v>
      </c>
      <c r="C9" s="19">
        <f>90000</f>
        <v>90000</v>
      </c>
      <c r="D9" s="19">
        <f t="shared" ref="D9:D13" si="0">C9+B9</f>
        <v>347400</v>
      </c>
      <c r="E9" s="19">
        <f>345795</f>
        <v>345795</v>
      </c>
      <c r="F9" s="24">
        <v>500000</v>
      </c>
      <c r="G9" s="21">
        <v>500000</v>
      </c>
      <c r="H9" s="39">
        <v>500000</v>
      </c>
      <c r="I9" s="39">
        <v>550000</v>
      </c>
      <c r="J9" s="58">
        <v>300000</v>
      </c>
      <c r="K9" s="13">
        <v>499754.28</v>
      </c>
      <c r="L9" s="13"/>
    </row>
    <row r="10" spans="1:14" ht="32.25" customHeight="1" x14ac:dyDescent="0.25">
      <c r="A10" s="44" t="s">
        <v>11</v>
      </c>
      <c r="B10" s="25">
        <v>533000</v>
      </c>
      <c r="C10" s="19">
        <f>1000000</f>
        <v>1000000</v>
      </c>
      <c r="D10" s="19">
        <f t="shared" si="0"/>
        <v>1533000</v>
      </c>
      <c r="E10" s="19">
        <f>1515380</f>
        <v>1515380</v>
      </c>
      <c r="F10" s="25">
        <v>1756500</v>
      </c>
      <c r="G10" s="3">
        <v>1000000</v>
      </c>
      <c r="H10" s="40">
        <v>1000000</v>
      </c>
      <c r="I10" s="40">
        <v>1100000</v>
      </c>
      <c r="J10" s="58">
        <v>700000</v>
      </c>
      <c r="K10" s="13">
        <f>769507.2+99900+99000</f>
        <v>968407.2</v>
      </c>
      <c r="L10" s="13"/>
    </row>
    <row r="11" spans="1:14" ht="24.75" customHeight="1" x14ac:dyDescent="0.25">
      <c r="A11" s="7" t="s">
        <v>12</v>
      </c>
      <c r="B11" s="25">
        <v>390000</v>
      </c>
      <c r="C11" s="19"/>
      <c r="D11" s="19">
        <f t="shared" si="0"/>
        <v>390000</v>
      </c>
      <c r="E11" s="19">
        <f>389988</f>
        <v>389988</v>
      </c>
      <c r="F11" s="25">
        <v>200000</v>
      </c>
      <c r="G11" s="3">
        <v>200000</v>
      </c>
      <c r="H11" s="28">
        <v>200000</v>
      </c>
      <c r="I11" s="28">
        <v>230000</v>
      </c>
      <c r="J11" s="58">
        <v>90000</v>
      </c>
      <c r="K11" s="13"/>
      <c r="L11" s="13"/>
    </row>
    <row r="12" spans="1:14" ht="26.25" customHeight="1" x14ac:dyDescent="0.25">
      <c r="A12" s="8" t="s">
        <v>52</v>
      </c>
      <c r="B12" s="25">
        <v>63700</v>
      </c>
      <c r="C12" s="13">
        <f>45000+90000+98000</f>
        <v>233000</v>
      </c>
      <c r="D12" s="13">
        <f t="shared" si="0"/>
        <v>296700</v>
      </c>
      <c r="E12" s="13">
        <f>63700+99000+44856+97999.92</f>
        <v>305555.92</v>
      </c>
      <c r="F12" s="25">
        <v>95000</v>
      </c>
      <c r="G12" s="3">
        <v>95000</v>
      </c>
      <c r="H12" s="28">
        <v>95000</v>
      </c>
      <c r="I12" s="28">
        <v>100000</v>
      </c>
      <c r="J12" s="58">
        <v>50000</v>
      </c>
      <c r="K12" s="13"/>
      <c r="L12" s="13"/>
    </row>
    <row r="13" spans="1:14" ht="24" customHeight="1" x14ac:dyDescent="0.25">
      <c r="A13" s="8" t="s">
        <v>13</v>
      </c>
      <c r="B13" s="26">
        <v>1793350</v>
      </c>
      <c r="C13" s="13">
        <f>-1224525+80000-371000-80000-200000+5970</f>
        <v>-1789555</v>
      </c>
      <c r="D13" s="13">
        <f t="shared" si="0"/>
        <v>3795</v>
      </c>
      <c r="E13" s="13"/>
      <c r="F13" s="25">
        <v>1500000</v>
      </c>
      <c r="G13" s="3">
        <v>205000</v>
      </c>
      <c r="H13" s="28">
        <v>230000</v>
      </c>
      <c r="I13" s="28">
        <v>240000</v>
      </c>
      <c r="J13" s="58">
        <v>310000</v>
      </c>
      <c r="K13" s="13">
        <v>424388.2</v>
      </c>
      <c r="L13" s="13"/>
    </row>
    <row r="14" spans="1:14" ht="24.75" customHeight="1" x14ac:dyDescent="0.25">
      <c r="A14" s="7"/>
      <c r="B14" s="25"/>
      <c r="C14" s="19"/>
      <c r="D14" s="19"/>
      <c r="E14" s="19"/>
      <c r="F14" s="25"/>
      <c r="G14" s="53">
        <f>SUM(G8:G13)</f>
        <v>2073000</v>
      </c>
      <c r="H14" s="53">
        <f t="shared" ref="H14:I14" si="1">SUM(H8:H11)</f>
        <v>1775000</v>
      </c>
      <c r="I14" s="53">
        <f t="shared" si="1"/>
        <v>1960000</v>
      </c>
      <c r="J14" s="59">
        <f>SUM(J8:J13)</f>
        <v>1500000</v>
      </c>
      <c r="K14" s="57">
        <v>1965549.64</v>
      </c>
      <c r="L14" s="13"/>
    </row>
    <row r="15" spans="1:14" ht="22.5" customHeight="1" x14ac:dyDescent="0.25">
      <c r="A15" s="9" t="s">
        <v>14</v>
      </c>
      <c r="B15" s="24">
        <v>52000</v>
      </c>
      <c r="C15" s="19"/>
      <c r="D15" s="45">
        <f t="shared" ref="D15:D37" si="2">C15+B15</f>
        <v>52000</v>
      </c>
      <c r="E15" s="19">
        <f>12240</f>
        <v>12240</v>
      </c>
      <c r="F15" s="24">
        <v>50000</v>
      </c>
      <c r="G15" s="19">
        <v>50000</v>
      </c>
      <c r="H15" s="33">
        <v>50000</v>
      </c>
      <c r="I15" s="33">
        <v>50000</v>
      </c>
      <c r="J15" s="58">
        <v>50000</v>
      </c>
      <c r="K15" s="13">
        <f>12480+3500</f>
        <v>15980</v>
      </c>
      <c r="L15" s="13"/>
      <c r="M15" s="16"/>
      <c r="N15" s="16"/>
    </row>
    <row r="16" spans="1:14" x14ac:dyDescent="0.25">
      <c r="A16" s="7" t="s">
        <v>15</v>
      </c>
      <c r="B16" s="23">
        <v>62400</v>
      </c>
      <c r="C16" s="19">
        <v>60000</v>
      </c>
      <c r="D16" s="45">
        <f t="shared" si="2"/>
        <v>122400</v>
      </c>
      <c r="E16" s="19">
        <f>81892.9</f>
        <v>81892.899999999994</v>
      </c>
      <c r="F16" s="23">
        <v>139467</v>
      </c>
      <c r="G16" s="19">
        <v>135000</v>
      </c>
      <c r="H16" s="33">
        <v>140000</v>
      </c>
      <c r="I16" s="33">
        <v>140000</v>
      </c>
      <c r="J16" s="58">
        <v>90000</v>
      </c>
      <c r="K16" s="13">
        <v>49240.800000000003</v>
      </c>
      <c r="L16" s="13"/>
      <c r="M16" s="16"/>
      <c r="N16" s="16"/>
    </row>
    <row r="17" spans="1:14" ht="22.5" customHeight="1" x14ac:dyDescent="0.25">
      <c r="A17" s="9" t="s">
        <v>3</v>
      </c>
      <c r="B17" s="24">
        <v>587600</v>
      </c>
      <c r="C17" s="19"/>
      <c r="D17" s="45">
        <f t="shared" si="2"/>
        <v>587600</v>
      </c>
      <c r="E17" s="19">
        <f>129012.31+865.59+6393.24+7533.44+201.32+1282.26+239872.99+10234.49+14135+23531+8220.7+6591.54+47680.04+49496.46+2558+2400+37000</f>
        <v>587008.38</v>
      </c>
      <c r="F17" s="24">
        <v>1575506</v>
      </c>
      <c r="G17" s="19">
        <v>378000</v>
      </c>
      <c r="H17" s="13">
        <v>380000</v>
      </c>
      <c r="I17" s="13">
        <v>380000</v>
      </c>
      <c r="J17" s="58">
        <v>374000</v>
      </c>
      <c r="K17" s="13">
        <f>29810.52+2761.87</f>
        <v>32572.39</v>
      </c>
      <c r="L17" s="13"/>
      <c r="M17" s="16"/>
      <c r="N17" s="16"/>
    </row>
    <row r="18" spans="1:14" ht="21" customHeight="1" x14ac:dyDescent="0.25">
      <c r="A18" s="9" t="s">
        <v>16</v>
      </c>
      <c r="B18" s="24">
        <v>130000</v>
      </c>
      <c r="C18" s="19"/>
      <c r="D18" s="45">
        <f t="shared" si="2"/>
        <v>130000</v>
      </c>
      <c r="E18" s="19">
        <f>7828.11+97178.96+2041+2418+22891.93-2400</f>
        <v>129958</v>
      </c>
      <c r="F18" s="24">
        <v>227665</v>
      </c>
      <c r="G18" s="19">
        <v>207000</v>
      </c>
      <c r="H18" s="13">
        <v>210000</v>
      </c>
      <c r="I18" s="13">
        <v>210000</v>
      </c>
      <c r="J18" s="58">
        <v>50000</v>
      </c>
      <c r="K18" s="13">
        <v>5690.18</v>
      </c>
      <c r="L18" s="13"/>
      <c r="M18" s="16"/>
      <c r="N18" s="16"/>
    </row>
    <row r="19" spans="1:14" ht="23.25" customHeight="1" x14ac:dyDescent="0.25">
      <c r="A19" s="9" t="s">
        <v>4</v>
      </c>
      <c r="B19" s="24">
        <v>104000</v>
      </c>
      <c r="C19" s="19"/>
      <c r="D19" s="45">
        <f t="shared" si="2"/>
        <v>104000</v>
      </c>
      <c r="E19" s="19">
        <f>9214.01+38508.91+48524.03+6350.3+160441.59-159039</f>
        <v>103999.84000000003</v>
      </c>
      <c r="F19" s="24">
        <v>199800</v>
      </c>
      <c r="G19" s="19">
        <v>199000</v>
      </c>
      <c r="H19" s="32">
        <v>200000</v>
      </c>
      <c r="I19" s="32">
        <v>200000</v>
      </c>
      <c r="J19" s="58">
        <v>50000</v>
      </c>
      <c r="K19" s="13">
        <v>53546.17</v>
      </c>
      <c r="L19" s="13"/>
      <c r="M19" s="16"/>
      <c r="N19" s="16"/>
    </row>
    <row r="20" spans="1:14" ht="20.25" customHeight="1" x14ac:dyDescent="0.25">
      <c r="A20" s="9" t="s">
        <v>17</v>
      </c>
      <c r="B20" s="24">
        <v>130000</v>
      </c>
      <c r="C20" s="19"/>
      <c r="D20" s="45">
        <f t="shared" si="2"/>
        <v>130000</v>
      </c>
      <c r="E20" s="19">
        <f>14446+115557-3</f>
        <v>130000</v>
      </c>
      <c r="F20" s="24">
        <v>240000</v>
      </c>
      <c r="G20" s="19">
        <v>200000</v>
      </c>
      <c r="H20" s="13">
        <v>200000</v>
      </c>
      <c r="I20" s="13">
        <v>200000</v>
      </c>
      <c r="J20" s="58">
        <v>50000</v>
      </c>
      <c r="K20" s="13"/>
      <c r="L20" s="13"/>
      <c r="M20" s="16"/>
      <c r="N20" s="16"/>
    </row>
    <row r="21" spans="1:14" x14ac:dyDescent="0.25">
      <c r="A21" s="9" t="s">
        <v>18</v>
      </c>
      <c r="B21" s="24">
        <v>260000</v>
      </c>
      <c r="C21" s="19">
        <f>48000</f>
        <v>48000</v>
      </c>
      <c r="D21" s="45">
        <f t="shared" si="2"/>
        <v>308000</v>
      </c>
      <c r="E21" s="19">
        <f>77520+28637+39539.53+300746.4-115551-22892</f>
        <v>307999.93000000005</v>
      </c>
      <c r="F21" s="24">
        <v>150000</v>
      </c>
      <c r="G21" s="19">
        <v>100000</v>
      </c>
      <c r="H21" s="13">
        <v>100000</v>
      </c>
      <c r="I21" s="13">
        <v>100000</v>
      </c>
      <c r="J21" s="58">
        <v>50000</v>
      </c>
      <c r="K21" s="13"/>
      <c r="L21" s="13"/>
    </row>
    <row r="22" spans="1:14" x14ac:dyDescent="0.25">
      <c r="A22" s="9" t="s">
        <v>19</v>
      </c>
      <c r="B22" s="24">
        <v>62400</v>
      </c>
      <c r="C22" s="19"/>
      <c r="D22" s="45">
        <f t="shared" si="2"/>
        <v>62400</v>
      </c>
      <c r="E22" s="19">
        <f>19407.84+42000</f>
        <v>61407.839999999997</v>
      </c>
      <c r="F22" s="24">
        <v>50000</v>
      </c>
      <c r="G22" s="19">
        <v>50000</v>
      </c>
      <c r="H22" s="13">
        <v>50000</v>
      </c>
      <c r="I22" s="13">
        <v>50000</v>
      </c>
      <c r="J22" s="58">
        <v>30000</v>
      </c>
      <c r="K22" s="13">
        <v>7770.8</v>
      </c>
      <c r="L22" s="13"/>
    </row>
    <row r="23" spans="1:14" ht="12.75" customHeight="1" x14ac:dyDescent="0.25">
      <c r="A23" s="9" t="s">
        <v>20</v>
      </c>
      <c r="B23" s="23">
        <v>62400</v>
      </c>
      <c r="C23" s="19">
        <f>95000+50000+95000+95000+95000</f>
        <v>430000</v>
      </c>
      <c r="D23" s="45">
        <f t="shared" si="2"/>
        <v>492400</v>
      </c>
      <c r="E23" s="19">
        <v>492400</v>
      </c>
      <c r="F23" s="23">
        <v>800000</v>
      </c>
      <c r="G23" s="19">
        <v>500000</v>
      </c>
      <c r="H23" s="13">
        <v>500000</v>
      </c>
      <c r="I23" s="13">
        <v>500000</v>
      </c>
      <c r="J23" s="58">
        <v>95000</v>
      </c>
      <c r="K23" s="13">
        <v>333060.52</v>
      </c>
      <c r="L23" s="13"/>
    </row>
    <row r="24" spans="1:14" ht="22.5" customHeight="1" x14ac:dyDescent="0.25">
      <c r="A24" s="9" t="s">
        <v>21</v>
      </c>
      <c r="B24" s="23">
        <v>64350</v>
      </c>
      <c r="C24" s="19">
        <f>56000</f>
        <v>56000</v>
      </c>
      <c r="D24" s="45">
        <f t="shared" si="2"/>
        <v>120350</v>
      </c>
      <c r="E24" s="19">
        <f>133249-12899</f>
        <v>120350</v>
      </c>
      <c r="F24" s="23">
        <v>75000</v>
      </c>
      <c r="G24" s="19">
        <v>75000</v>
      </c>
      <c r="H24" s="13">
        <v>75000</v>
      </c>
      <c r="I24" s="13">
        <v>75000</v>
      </c>
      <c r="J24" s="58">
        <v>75000</v>
      </c>
      <c r="K24" s="13">
        <v>61228</v>
      </c>
      <c r="L24" s="13"/>
    </row>
    <row r="25" spans="1:14" x14ac:dyDescent="0.25">
      <c r="A25" s="9" t="s">
        <v>22</v>
      </c>
      <c r="B25" s="23">
        <v>64350</v>
      </c>
      <c r="C25" s="19"/>
      <c r="D25" s="45">
        <f t="shared" si="2"/>
        <v>64350</v>
      </c>
      <c r="E25" s="19">
        <f>12899</f>
        <v>12899</v>
      </c>
      <c r="F25" s="23">
        <v>80000</v>
      </c>
      <c r="G25" s="19">
        <v>80000</v>
      </c>
      <c r="H25" s="13">
        <v>80000</v>
      </c>
      <c r="I25" s="13">
        <v>80000</v>
      </c>
      <c r="J25" s="58">
        <v>80000</v>
      </c>
      <c r="K25" s="13">
        <f>35378.4+20335.2</f>
        <v>55713.600000000006</v>
      </c>
      <c r="L25" s="13"/>
    </row>
    <row r="26" spans="1:14" x14ac:dyDescent="0.25">
      <c r="A26" s="9" t="s">
        <v>8</v>
      </c>
      <c r="B26" s="23">
        <v>64350</v>
      </c>
      <c r="C26" s="19">
        <f>93525</f>
        <v>93525</v>
      </c>
      <c r="D26" s="45">
        <f t="shared" si="2"/>
        <v>157875</v>
      </c>
      <c r="E26" s="19">
        <f>52168.26+64350+5401</f>
        <v>121919.26000000001</v>
      </c>
      <c r="F26" s="23">
        <v>98000</v>
      </c>
      <c r="G26" s="19">
        <v>98000</v>
      </c>
      <c r="H26" s="33">
        <v>98000</v>
      </c>
      <c r="I26" s="33">
        <v>98000</v>
      </c>
      <c r="J26" s="58">
        <v>98000</v>
      </c>
      <c r="K26" s="13">
        <f>175600+17692.8</f>
        <v>193292.79999999999</v>
      </c>
      <c r="L26" s="13"/>
    </row>
    <row r="27" spans="1:14" ht="21" customHeight="1" x14ac:dyDescent="0.25">
      <c r="A27" s="9" t="s">
        <v>38</v>
      </c>
      <c r="B27" s="23">
        <v>63700</v>
      </c>
      <c r="C27" s="19">
        <f>95000</f>
        <v>95000</v>
      </c>
      <c r="D27" s="45">
        <f t="shared" si="2"/>
        <v>158700</v>
      </c>
      <c r="E27" s="19">
        <f>65300+98801-5400-1</f>
        <v>158700</v>
      </c>
      <c r="F27" s="23">
        <v>800000</v>
      </c>
      <c r="G27" s="19">
        <f>500000</f>
        <v>500000</v>
      </c>
      <c r="H27" s="13">
        <v>500000</v>
      </c>
      <c r="I27" s="13">
        <v>500000</v>
      </c>
      <c r="J27" s="58"/>
      <c r="K27" s="13">
        <v>45164</v>
      </c>
      <c r="L27" s="13"/>
    </row>
    <row r="28" spans="1:14" ht="32.25" customHeight="1" x14ac:dyDescent="0.25">
      <c r="A28" s="46" t="s">
        <v>23</v>
      </c>
      <c r="B28" s="24">
        <v>2028000</v>
      </c>
      <c r="C28" s="19"/>
      <c r="D28" s="45">
        <f t="shared" si="2"/>
        <v>2028000</v>
      </c>
      <c r="E28" s="19">
        <f>825361.91+35137</f>
        <v>860498.91</v>
      </c>
      <c r="F28" s="24">
        <v>2200000</v>
      </c>
      <c r="G28" s="19">
        <v>1500000</v>
      </c>
      <c r="H28" s="34">
        <v>1500000</v>
      </c>
      <c r="I28" s="34">
        <v>1500000</v>
      </c>
      <c r="J28" s="58">
        <v>2000000</v>
      </c>
      <c r="K28" s="13">
        <v>735786.01</v>
      </c>
      <c r="L28" s="13"/>
    </row>
    <row r="29" spans="1:14" ht="24" customHeight="1" x14ac:dyDescent="0.25">
      <c r="A29" s="9" t="s">
        <v>24</v>
      </c>
      <c r="B29" s="24">
        <v>2600000</v>
      </c>
      <c r="C29" s="19"/>
      <c r="D29" s="45">
        <f t="shared" si="2"/>
        <v>2600000</v>
      </c>
      <c r="E29" s="19">
        <f>1332273.99</f>
        <v>1332273.99</v>
      </c>
      <c r="F29" s="24">
        <v>2200000</v>
      </c>
      <c r="G29" s="19">
        <v>1500000</v>
      </c>
      <c r="H29" s="34">
        <v>1500000</v>
      </c>
      <c r="I29" s="34">
        <v>1500000</v>
      </c>
      <c r="J29" s="58">
        <v>1000000</v>
      </c>
      <c r="K29" s="13">
        <v>1120652.01</v>
      </c>
      <c r="L29" s="13"/>
    </row>
    <row r="30" spans="1:14" ht="18.75" customHeight="1" x14ac:dyDescent="0.25">
      <c r="A30" s="9" t="s">
        <v>25</v>
      </c>
      <c r="B30" s="24">
        <v>520000</v>
      </c>
      <c r="C30" s="19"/>
      <c r="D30" s="45">
        <f t="shared" si="2"/>
        <v>520000</v>
      </c>
      <c r="E30" s="19">
        <f>123719.69</f>
        <v>123719.69</v>
      </c>
      <c r="F30" s="24">
        <v>538188</v>
      </c>
      <c r="G30" s="19">
        <v>500000</v>
      </c>
      <c r="H30" s="33">
        <v>500000</v>
      </c>
      <c r="I30" s="33">
        <v>500000</v>
      </c>
      <c r="J30" s="58">
        <v>500000</v>
      </c>
      <c r="K30" s="13">
        <v>338057.16</v>
      </c>
      <c r="L30" s="13"/>
    </row>
    <row r="31" spans="1:14" ht="21" customHeight="1" x14ac:dyDescent="0.25">
      <c r="A31" s="9" t="s">
        <v>26</v>
      </c>
      <c r="B31" s="24">
        <v>1300000</v>
      </c>
      <c r="C31" s="19">
        <f>400000</f>
        <v>400000</v>
      </c>
      <c r="D31" s="45">
        <f t="shared" si="2"/>
        <v>1700000</v>
      </c>
      <c r="E31" s="19">
        <f>882171.3+200000</f>
        <v>1082171.3</v>
      </c>
      <c r="F31" s="24">
        <v>1500000</v>
      </c>
      <c r="G31" s="19">
        <v>1000000</v>
      </c>
      <c r="H31" s="35">
        <v>1142000</v>
      </c>
      <c r="I31" s="35">
        <v>1642000</v>
      </c>
      <c r="J31" s="58">
        <v>1000000</v>
      </c>
      <c r="K31" s="13">
        <f>1109686.09</f>
        <v>1109686.0900000001</v>
      </c>
      <c r="L31" s="13"/>
    </row>
    <row r="32" spans="1:14" ht="12" customHeight="1" x14ac:dyDescent="0.25">
      <c r="A32" s="9" t="s">
        <v>27</v>
      </c>
      <c r="B32" s="24">
        <v>2080000</v>
      </c>
      <c r="C32" s="19">
        <f>400000</f>
        <v>400000</v>
      </c>
      <c r="D32" s="45">
        <f t="shared" si="2"/>
        <v>2480000</v>
      </c>
      <c r="E32" s="19">
        <f>1667383.11+17447.98</f>
        <v>1684831.09</v>
      </c>
      <c r="F32" s="24">
        <v>1600000</v>
      </c>
      <c r="G32" s="19">
        <v>1000000</v>
      </c>
      <c r="H32" s="35">
        <v>1000000</v>
      </c>
      <c r="I32" s="35">
        <v>1000000</v>
      </c>
      <c r="J32" s="58">
        <v>1000000</v>
      </c>
      <c r="K32" s="13">
        <v>999917.64</v>
      </c>
      <c r="L32" s="13"/>
    </row>
    <row r="33" spans="1:12" ht="13.5" customHeight="1" x14ac:dyDescent="0.25">
      <c r="A33" s="9" t="s">
        <v>28</v>
      </c>
      <c r="B33" s="24">
        <v>390000</v>
      </c>
      <c r="C33" s="19">
        <f>98000+350000</f>
        <v>448000</v>
      </c>
      <c r="D33" s="45">
        <f t="shared" si="2"/>
        <v>838000</v>
      </c>
      <c r="E33" s="19">
        <f>855447.98-17447.98</f>
        <v>838000</v>
      </c>
      <c r="F33" s="24">
        <v>1500000</v>
      </c>
      <c r="G33" s="19">
        <v>800000</v>
      </c>
      <c r="H33" s="35">
        <v>800000</v>
      </c>
      <c r="I33" s="35">
        <v>800000</v>
      </c>
      <c r="J33" s="58">
        <v>1000000</v>
      </c>
      <c r="K33" s="13">
        <v>467737.59</v>
      </c>
      <c r="L33" s="13"/>
    </row>
    <row r="34" spans="1:12" ht="22.5" customHeight="1" x14ac:dyDescent="0.25">
      <c r="A34" s="9" t="s">
        <v>45</v>
      </c>
      <c r="B34" s="24"/>
      <c r="C34" s="19"/>
      <c r="D34" s="45">
        <f t="shared" si="2"/>
        <v>0</v>
      </c>
      <c r="E34" s="19"/>
      <c r="F34" s="24">
        <v>60000</v>
      </c>
      <c r="G34" s="19">
        <v>60000</v>
      </c>
      <c r="H34" s="13">
        <v>60000</v>
      </c>
      <c r="I34" s="13">
        <v>60000</v>
      </c>
      <c r="J34" s="58">
        <v>30000</v>
      </c>
      <c r="K34" s="13">
        <f>13220</f>
        <v>13220</v>
      </c>
      <c r="L34" s="13"/>
    </row>
    <row r="35" spans="1:12" ht="26.25" customHeight="1" x14ac:dyDescent="0.25">
      <c r="A35" s="9" t="s">
        <v>44</v>
      </c>
      <c r="B35" s="24"/>
      <c r="C35" s="19"/>
      <c r="D35" s="45">
        <f t="shared" si="2"/>
        <v>0</v>
      </c>
      <c r="E35" s="19"/>
      <c r="F35" s="24">
        <v>80000</v>
      </c>
      <c r="G35" s="19">
        <v>80000</v>
      </c>
      <c r="H35" s="13">
        <v>80000</v>
      </c>
      <c r="I35" s="13">
        <v>80000</v>
      </c>
      <c r="J35" s="58">
        <v>30000</v>
      </c>
      <c r="K35" s="13">
        <v>5558</v>
      </c>
      <c r="L35" s="13"/>
    </row>
    <row r="36" spans="1:12" ht="15" customHeight="1" x14ac:dyDescent="0.25">
      <c r="A36" s="9" t="s">
        <v>2</v>
      </c>
      <c r="B36" s="24">
        <v>793000</v>
      </c>
      <c r="C36" s="19">
        <f>820000</f>
        <v>820000</v>
      </c>
      <c r="D36" s="45">
        <f t="shared" si="2"/>
        <v>1613000</v>
      </c>
      <c r="E36" s="19">
        <f>958762.55+303000</f>
        <v>1261762.55</v>
      </c>
      <c r="F36" s="24">
        <v>1750000</v>
      </c>
      <c r="G36" s="19">
        <v>1000000</v>
      </c>
      <c r="H36" s="36">
        <v>1000000</v>
      </c>
      <c r="I36" s="36">
        <v>1000000</v>
      </c>
      <c r="J36" s="58">
        <v>98000</v>
      </c>
      <c r="K36" s="13">
        <v>1993214.5</v>
      </c>
      <c r="L36" s="13"/>
    </row>
    <row r="37" spans="1:12" ht="15" customHeight="1" x14ac:dyDescent="0.25">
      <c r="A37" s="9" t="s">
        <v>33</v>
      </c>
      <c r="B37" s="24">
        <v>100000</v>
      </c>
      <c r="C37" s="19">
        <f>90000-10000+98000</f>
        <v>178000</v>
      </c>
      <c r="D37" s="45">
        <f t="shared" si="2"/>
        <v>278000</v>
      </c>
      <c r="E37" s="19">
        <f>2971.2+15302.4+159039+100000</f>
        <v>277312.59999999998</v>
      </c>
      <c r="F37" s="24">
        <v>1000000</v>
      </c>
      <c r="G37" s="19"/>
      <c r="H37" s="13"/>
      <c r="I37" s="13"/>
      <c r="J37" s="58"/>
      <c r="K37" s="13">
        <v>818336.48</v>
      </c>
      <c r="L37" s="13"/>
    </row>
    <row r="38" spans="1:12" x14ac:dyDescent="0.25">
      <c r="A38" s="20" t="s">
        <v>0</v>
      </c>
      <c r="B38" s="47">
        <f t="shared" ref="B38:J38" si="3">SUM(B15:B37)</f>
        <v>11518550</v>
      </c>
      <c r="C38" s="47">
        <f t="shared" si="3"/>
        <v>3028525</v>
      </c>
      <c r="D38" s="47">
        <f t="shared" si="3"/>
        <v>14547075</v>
      </c>
      <c r="E38" s="47">
        <f t="shared" si="3"/>
        <v>9781345.2800000012</v>
      </c>
      <c r="F38" s="45">
        <f t="shared" si="3"/>
        <v>16913626</v>
      </c>
      <c r="G38" s="22">
        <f t="shared" si="3"/>
        <v>10012000</v>
      </c>
      <c r="H38" s="22">
        <f t="shared" si="3"/>
        <v>10165000</v>
      </c>
      <c r="I38" s="22">
        <f t="shared" si="3"/>
        <v>10665000</v>
      </c>
      <c r="J38" s="59">
        <f t="shared" si="3"/>
        <v>7750000</v>
      </c>
      <c r="K38" s="57">
        <f>SUM(K15:K37)</f>
        <v>8455424.7400000002</v>
      </c>
      <c r="L38" s="13"/>
    </row>
    <row r="39" spans="1:12" x14ac:dyDescent="0.25">
      <c r="A39" s="48" t="s">
        <v>29</v>
      </c>
      <c r="B39" s="3">
        <v>8450000</v>
      </c>
      <c r="C39" s="19">
        <f>-61024</f>
        <v>-61024</v>
      </c>
      <c r="D39" s="19">
        <f>C39+B39</f>
        <v>8388976</v>
      </c>
      <c r="E39" s="19">
        <v>4032371.99</v>
      </c>
      <c r="F39" s="3">
        <v>15865628</v>
      </c>
      <c r="G39" s="19">
        <v>7000000</v>
      </c>
      <c r="H39" s="37">
        <v>7398000</v>
      </c>
      <c r="I39" s="37">
        <v>7698000</v>
      </c>
      <c r="J39" s="58">
        <v>9000000</v>
      </c>
      <c r="K39" s="13">
        <v>3378538.34</v>
      </c>
      <c r="L39" s="13"/>
    </row>
    <row r="40" spans="1:12" x14ac:dyDescent="0.25">
      <c r="A40" s="9" t="s">
        <v>34</v>
      </c>
      <c r="B40" s="3">
        <v>13000</v>
      </c>
      <c r="C40" s="49">
        <f>61024-40000</f>
        <v>21024</v>
      </c>
      <c r="D40" s="19">
        <f>C40+B40</f>
        <v>34024</v>
      </c>
      <c r="E40" s="19">
        <v>607.95000000000005</v>
      </c>
      <c r="F40" s="3">
        <v>2000</v>
      </c>
      <c r="G40" s="19">
        <v>2000</v>
      </c>
      <c r="H40" s="37">
        <v>2000</v>
      </c>
      <c r="I40" s="37">
        <v>2000</v>
      </c>
      <c r="J40" s="58">
        <v>2000</v>
      </c>
      <c r="K40" s="13">
        <v>497.37</v>
      </c>
      <c r="L40" s="13"/>
    </row>
    <row r="41" spans="1:12" ht="16.5" customHeight="1" x14ac:dyDescent="0.25">
      <c r="A41" s="20" t="s">
        <v>30</v>
      </c>
      <c r="B41" s="38">
        <f>SUM(B39:B40)</f>
        <v>8463000</v>
      </c>
      <c r="C41" s="38">
        <f t="shared" ref="C41:F41" si="4">SUM(C39:C40)</f>
        <v>-40000</v>
      </c>
      <c r="D41" s="38">
        <f t="shared" si="4"/>
        <v>8423000</v>
      </c>
      <c r="E41" s="38">
        <f t="shared" si="4"/>
        <v>4032979.9400000004</v>
      </c>
      <c r="F41" s="38">
        <f t="shared" si="4"/>
        <v>15867628</v>
      </c>
      <c r="G41" s="54">
        <f>SUM(G39:G40)</f>
        <v>7002000</v>
      </c>
      <c r="H41" s="54">
        <f t="shared" ref="H41:I41" si="5">SUM(H39:H40)</f>
        <v>7400000</v>
      </c>
      <c r="I41" s="54">
        <f t="shared" si="5"/>
        <v>7700000</v>
      </c>
      <c r="J41" s="60">
        <f>SUM(J39:J40)</f>
        <v>9002000</v>
      </c>
      <c r="K41" s="57">
        <f>SUM(K39:K40)</f>
        <v>3379035.71</v>
      </c>
      <c r="L41" s="13"/>
    </row>
    <row r="42" spans="1:12" ht="17.25" customHeight="1" x14ac:dyDescent="0.25">
      <c r="A42" s="20" t="s">
        <v>31</v>
      </c>
      <c r="B42" s="38" t="e">
        <f>B38+B41+#REF!</f>
        <v>#REF!</v>
      </c>
      <c r="C42" s="38" t="e">
        <f>C38+C41+#REF!</f>
        <v>#REF!</v>
      </c>
      <c r="D42" s="38" t="e">
        <f>D38+D41+#REF!</f>
        <v>#REF!</v>
      </c>
      <c r="E42" s="38" t="e">
        <f>E38+E41+#REF!</f>
        <v>#REF!</v>
      </c>
      <c r="F42" s="38" t="e">
        <f>F38+F41+#REF!+#REF!+#REF!+#REF!</f>
        <v>#REF!</v>
      </c>
      <c r="G42" s="38" t="e">
        <f>G38+G41+#REF!+#REF!+#REF!</f>
        <v>#REF!</v>
      </c>
      <c r="H42" s="11" t="e">
        <f>H38+H41+#REF!+#REF!+#REF!+#REF!</f>
        <v>#REF!</v>
      </c>
      <c r="I42" s="11" t="e">
        <f>I38+I41+#REF!+#REF!+#REF!+#REF!</f>
        <v>#REF!</v>
      </c>
      <c r="J42" s="61">
        <f>J41+J38+J14</f>
        <v>18252000</v>
      </c>
      <c r="K42" s="63">
        <f>K14+K38+K41</f>
        <v>13800010.09</v>
      </c>
      <c r="L42" s="13"/>
    </row>
    <row r="43" spans="1:12" ht="18" customHeight="1" x14ac:dyDescent="0.25">
      <c r="A43" s="94" t="s">
        <v>7</v>
      </c>
      <c r="B43" s="95"/>
      <c r="C43" s="95"/>
      <c r="D43" s="95"/>
      <c r="E43" s="95"/>
      <c r="F43" s="95"/>
      <c r="G43" s="96"/>
      <c r="H43" s="30"/>
      <c r="I43" s="30"/>
      <c r="J43" s="58"/>
      <c r="K43" s="12"/>
      <c r="L43" s="13"/>
    </row>
    <row r="44" spans="1:12" ht="15.75" customHeight="1" x14ac:dyDescent="0.25">
      <c r="A44" s="9" t="s">
        <v>40</v>
      </c>
      <c r="B44" s="21">
        <v>28900000</v>
      </c>
      <c r="C44" s="19">
        <f>2721000+5900000+950000</f>
        <v>9571000</v>
      </c>
      <c r="D44" s="19">
        <f>C44+B44</f>
        <v>38471000</v>
      </c>
      <c r="E44" s="19">
        <v>28055146.940000001</v>
      </c>
      <c r="F44" s="21">
        <v>35000000</v>
      </c>
      <c r="G44" s="19">
        <f>G45+G46+G48+G49+G47</f>
        <v>29534531</v>
      </c>
      <c r="H44" s="13"/>
      <c r="I44" s="13"/>
      <c r="J44" s="58">
        <v>31000000</v>
      </c>
      <c r="K44" s="12"/>
      <c r="L44" s="13"/>
    </row>
    <row r="45" spans="1:12" ht="14.25" customHeight="1" x14ac:dyDescent="0.25">
      <c r="A45" s="9" t="s">
        <v>41</v>
      </c>
      <c r="B45" s="21"/>
      <c r="C45" s="19"/>
      <c r="D45" s="19"/>
      <c r="E45" s="19"/>
      <c r="F45" s="19">
        <v>16000000</v>
      </c>
      <c r="G45" s="19">
        <v>12000000</v>
      </c>
      <c r="H45" s="13"/>
      <c r="I45" s="13"/>
      <c r="J45" s="58"/>
      <c r="K45" s="12">
        <v>1270986.23</v>
      </c>
      <c r="L45" s="13"/>
    </row>
    <row r="46" spans="1:12" ht="13.5" customHeight="1" x14ac:dyDescent="0.25">
      <c r="A46" s="9" t="s">
        <v>42</v>
      </c>
      <c r="B46" s="21"/>
      <c r="C46" s="19"/>
      <c r="D46" s="19"/>
      <c r="E46" s="19"/>
      <c r="F46" s="19">
        <v>7000000</v>
      </c>
      <c r="G46" s="19">
        <v>5000000</v>
      </c>
      <c r="H46" s="13"/>
      <c r="I46" s="13"/>
      <c r="J46" s="58"/>
      <c r="K46" s="12"/>
      <c r="L46" s="13"/>
    </row>
    <row r="47" spans="1:12" ht="15.75" customHeight="1" x14ac:dyDescent="0.25">
      <c r="A47" s="9" t="s">
        <v>43</v>
      </c>
      <c r="B47" s="21"/>
      <c r="C47" s="19"/>
      <c r="D47" s="19"/>
      <c r="E47" s="19"/>
      <c r="F47" s="19">
        <v>12000000</v>
      </c>
      <c r="G47" s="19">
        <v>10534531</v>
      </c>
      <c r="H47" s="13"/>
      <c r="I47" s="13"/>
      <c r="J47" s="58"/>
      <c r="K47" s="12"/>
      <c r="L47" s="13"/>
    </row>
    <row r="48" spans="1:12" ht="15.75" customHeight="1" x14ac:dyDescent="0.25">
      <c r="A48" s="9" t="s">
        <v>1</v>
      </c>
      <c r="B48" s="21">
        <v>1040000</v>
      </c>
      <c r="C48" s="19"/>
      <c r="D48" s="19">
        <f>B48</f>
        <v>1040000</v>
      </c>
      <c r="E48" s="19">
        <v>1040000</v>
      </c>
      <c r="F48" s="21">
        <v>1200000</v>
      </c>
      <c r="G48" s="19">
        <v>1000000</v>
      </c>
      <c r="H48" s="13"/>
      <c r="I48" s="13"/>
      <c r="J48" s="58">
        <v>1000000</v>
      </c>
      <c r="K48" s="12"/>
      <c r="L48" s="13"/>
    </row>
    <row r="49" spans="1:12" ht="15.75" customHeight="1" x14ac:dyDescent="0.25">
      <c r="A49" s="9" t="s">
        <v>53</v>
      </c>
      <c r="B49" s="21"/>
      <c r="C49" s="19"/>
      <c r="D49" s="19"/>
      <c r="E49" s="19"/>
      <c r="F49" s="21"/>
      <c r="G49" s="19">
        <v>1000000</v>
      </c>
      <c r="H49" s="13"/>
      <c r="I49" s="13"/>
      <c r="J49" s="58"/>
      <c r="K49" s="12">
        <f>994467.92+12207.73</f>
        <v>1006675.65</v>
      </c>
      <c r="L49" s="13"/>
    </row>
    <row r="50" spans="1:12" ht="15.75" customHeight="1" x14ac:dyDescent="0.25">
      <c r="A50" s="50" t="s">
        <v>54</v>
      </c>
      <c r="B50" s="21"/>
      <c r="C50" s="19"/>
      <c r="D50" s="19"/>
      <c r="E50" s="19"/>
      <c r="F50" s="21"/>
      <c r="G50" s="19">
        <f>G44</f>
        <v>29534531</v>
      </c>
      <c r="H50" s="13"/>
      <c r="I50" s="13"/>
      <c r="J50" s="62">
        <f>J48+J44</f>
        <v>32000000</v>
      </c>
      <c r="K50" s="63">
        <f>SUM(K44:K49)</f>
        <v>2277661.88</v>
      </c>
      <c r="L50" s="13"/>
    </row>
    <row r="51" spans="1:12" ht="24.75" customHeight="1" x14ac:dyDescent="0.25">
      <c r="A51" s="51" t="s">
        <v>35</v>
      </c>
      <c r="B51" s="38" t="e">
        <f>B42+#REF!</f>
        <v>#REF!</v>
      </c>
      <c r="C51" s="38" t="e">
        <f>C42+#REF!</f>
        <v>#REF!</v>
      </c>
      <c r="D51" s="38" t="e">
        <f>D42+#REF!</f>
        <v>#REF!</v>
      </c>
      <c r="E51" s="38" t="e">
        <f>E42+#REF!</f>
        <v>#REF!</v>
      </c>
      <c r="F51" s="38" t="e">
        <f>F42+#REF!</f>
        <v>#REF!</v>
      </c>
      <c r="G51" s="43" t="e">
        <f>G50+G42</f>
        <v>#REF!</v>
      </c>
      <c r="H51" s="43" t="e">
        <f t="shared" ref="H51:I51" si="6">H50+H42</f>
        <v>#REF!</v>
      </c>
      <c r="I51" s="43" t="e">
        <f t="shared" si="6"/>
        <v>#REF!</v>
      </c>
      <c r="J51" s="62">
        <f>J50+J42</f>
        <v>50252000</v>
      </c>
      <c r="K51" s="63">
        <f>K42+K50</f>
        <v>16077671.969999999</v>
      </c>
      <c r="L51" s="13"/>
    </row>
    <row r="52" spans="1:12" x14ac:dyDescent="0.25">
      <c r="B52" s="10"/>
      <c r="J52" s="52"/>
    </row>
    <row r="53" spans="1:12" x14ac:dyDescent="0.25">
      <c r="B53" s="10"/>
    </row>
  </sheetData>
  <mergeCells count="5">
    <mergeCell ref="A1:G1"/>
    <mergeCell ref="A2:G2"/>
    <mergeCell ref="A3:G3"/>
    <mergeCell ref="A7:G7"/>
    <mergeCell ref="A43:G43"/>
  </mergeCells>
  <pageMargins left="0.35433070866141736" right="0.19685039370078741" top="0.15748031496062992" bottom="0.31496062992125984" header="0.15748031496062992" footer="0.31496062992125984"/>
  <pageSetup paperSize="9" scale="12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</sheetPr>
  <dimension ref="A1:N68"/>
  <sheetViews>
    <sheetView tabSelected="1" view="pageBreakPreview" zoomScaleNormal="160" zoomScaleSheetLayoutView="100" workbookViewId="0">
      <pane xSplit="8" ySplit="6" topLeftCell="I52" activePane="bottomRight" state="frozen"/>
      <selection pane="topRight" activeCell="I1" sqref="I1"/>
      <selection pane="bottomLeft" activeCell="A7" sqref="A7"/>
      <selection pane="bottomRight" activeCell="K61" sqref="K61"/>
    </sheetView>
  </sheetViews>
  <sheetFormatPr defaultColWidth="9.109375" defaultRowHeight="13.2" x14ac:dyDescent="0.25"/>
  <cols>
    <col min="1" max="1" width="36.5546875" style="2" customWidth="1"/>
    <col min="2" max="2" width="13.33203125" style="2" hidden="1" customWidth="1"/>
    <col min="3" max="3" width="12.109375" style="2" hidden="1" customWidth="1"/>
    <col min="4" max="4" width="12.44140625" style="2" hidden="1" customWidth="1"/>
    <col min="5" max="5" width="12.33203125" style="2" hidden="1" customWidth="1"/>
    <col min="6" max="6" width="11.88671875" style="2" hidden="1" customWidth="1"/>
    <col min="7" max="7" width="12.44140625" style="16" hidden="1" customWidth="1"/>
    <col min="8" max="8" width="0.33203125" style="16" hidden="1" customWidth="1"/>
    <col min="9" max="9" width="12.33203125" style="75" customWidth="1"/>
    <col min="10" max="10" width="12.44140625" style="75" customWidth="1"/>
    <col min="11" max="11" width="13.44140625" style="75" customWidth="1"/>
    <col min="12" max="12" width="10.6640625" style="75" customWidth="1"/>
    <col min="13" max="14" width="11.88671875" style="2" customWidth="1"/>
    <col min="15" max="16384" width="9.109375" style="2"/>
  </cols>
  <sheetData>
    <row r="1" spans="1:14" x14ac:dyDescent="0.25">
      <c r="A1" s="97" t="s">
        <v>71</v>
      </c>
      <c r="B1" s="97"/>
      <c r="C1" s="97"/>
      <c r="D1" s="97"/>
      <c r="E1" s="97"/>
      <c r="F1" s="97"/>
      <c r="G1" s="97"/>
      <c r="H1" s="98"/>
      <c r="I1" s="98"/>
      <c r="J1" s="98"/>
      <c r="K1" s="98"/>
      <c r="L1" s="98"/>
    </row>
    <row r="2" spans="1:14" x14ac:dyDescent="0.25">
      <c r="A2" s="90" t="s">
        <v>70</v>
      </c>
      <c r="B2" s="90"/>
      <c r="C2" s="90"/>
      <c r="D2" s="90"/>
      <c r="E2" s="90"/>
      <c r="F2" s="90"/>
      <c r="G2" s="90"/>
      <c r="H2" s="99"/>
      <c r="I2" s="99"/>
      <c r="J2" s="99"/>
      <c r="K2" s="99"/>
      <c r="L2" s="99"/>
    </row>
    <row r="3" spans="1:14" x14ac:dyDescent="0.25">
      <c r="A3" s="90" t="s">
        <v>32</v>
      </c>
      <c r="B3" s="90"/>
      <c r="C3" s="90"/>
      <c r="D3" s="90"/>
      <c r="E3" s="90"/>
      <c r="F3" s="90"/>
      <c r="G3" s="90"/>
      <c r="H3" s="90"/>
      <c r="I3" s="90"/>
      <c r="J3" s="90"/>
      <c r="K3" s="90"/>
    </row>
    <row r="4" spans="1:14" ht="10.5" customHeight="1" x14ac:dyDescent="0.3">
      <c r="A4" s="1"/>
      <c r="B4" s="64" t="s">
        <v>10</v>
      </c>
      <c r="L4" s="75" t="s">
        <v>10</v>
      </c>
    </row>
    <row r="5" spans="1:14" ht="39" customHeight="1" x14ac:dyDescent="0.25">
      <c r="A5" s="4" t="s">
        <v>9</v>
      </c>
      <c r="B5" s="4" t="s">
        <v>47</v>
      </c>
      <c r="C5" s="15" t="s">
        <v>48</v>
      </c>
      <c r="D5" s="15" t="s">
        <v>49</v>
      </c>
      <c r="E5" s="15" t="s">
        <v>50</v>
      </c>
      <c r="F5" s="17" t="s">
        <v>46</v>
      </c>
      <c r="G5" s="17" t="s">
        <v>51</v>
      </c>
      <c r="H5" s="31">
        <v>2025</v>
      </c>
      <c r="I5" s="76" t="s">
        <v>72</v>
      </c>
      <c r="J5" s="81" t="s">
        <v>65</v>
      </c>
      <c r="K5" s="82" t="s">
        <v>64</v>
      </c>
      <c r="L5" s="82" t="s">
        <v>63</v>
      </c>
    </row>
    <row r="6" spans="1:14" s="6" customFormat="1" ht="9.6" x14ac:dyDescent="0.2">
      <c r="A6" s="5">
        <v>1</v>
      </c>
      <c r="B6" s="5">
        <v>4</v>
      </c>
      <c r="C6" s="14"/>
      <c r="D6" s="14"/>
      <c r="E6" s="14"/>
      <c r="F6" s="18"/>
      <c r="G6" s="18"/>
      <c r="H6" s="18"/>
      <c r="I6" s="77"/>
      <c r="J6" s="83"/>
      <c r="K6" s="83"/>
      <c r="L6" s="83"/>
    </row>
    <row r="7" spans="1:14" ht="12.75" customHeight="1" x14ac:dyDescent="0.25">
      <c r="A7" s="91" t="s">
        <v>6</v>
      </c>
      <c r="B7" s="92"/>
      <c r="C7" s="92"/>
      <c r="D7" s="92"/>
      <c r="E7" s="92"/>
      <c r="F7" s="92"/>
      <c r="G7" s="93"/>
      <c r="H7" s="29"/>
      <c r="I7" s="78"/>
      <c r="J7" s="84"/>
      <c r="K7" s="85"/>
      <c r="L7" s="85"/>
    </row>
    <row r="8" spans="1:14" ht="25.5" customHeight="1" x14ac:dyDescent="0.25">
      <c r="A8" s="7" t="s">
        <v>78</v>
      </c>
      <c r="B8" s="23">
        <v>63700</v>
      </c>
      <c r="C8" s="19">
        <f>90000+48000</f>
        <v>138000</v>
      </c>
      <c r="D8" s="19">
        <f>C8+B8</f>
        <v>201700</v>
      </c>
      <c r="E8" s="19">
        <f>41994+21700+89922+63700-10000</f>
        <v>207316</v>
      </c>
      <c r="F8" s="24">
        <v>73255</v>
      </c>
      <c r="G8" s="21">
        <v>73000</v>
      </c>
      <c r="H8" s="27">
        <v>75000</v>
      </c>
      <c r="I8" s="66">
        <v>170999.96</v>
      </c>
      <c r="J8" s="65">
        <v>96000</v>
      </c>
      <c r="K8" s="66">
        <f>50000+46000</f>
        <v>96000</v>
      </c>
      <c r="L8" s="66"/>
    </row>
    <row r="9" spans="1:14" ht="15" customHeight="1" x14ac:dyDescent="0.25">
      <c r="A9" s="7" t="s">
        <v>58</v>
      </c>
      <c r="B9" s="24">
        <v>257400</v>
      </c>
      <c r="C9" s="19">
        <f>90000</f>
        <v>90000</v>
      </c>
      <c r="D9" s="19">
        <f t="shared" ref="D9:D13" si="0">C9+B9</f>
        <v>347400</v>
      </c>
      <c r="E9" s="19">
        <f>345795</f>
        <v>345795</v>
      </c>
      <c r="F9" s="24">
        <v>500000</v>
      </c>
      <c r="G9" s="21">
        <v>500000</v>
      </c>
      <c r="H9" s="39">
        <v>500000</v>
      </c>
      <c r="I9" s="66">
        <v>499754.28</v>
      </c>
      <c r="J9" s="65">
        <v>1200000</v>
      </c>
      <c r="K9" s="66">
        <v>300000</v>
      </c>
      <c r="L9" s="66"/>
    </row>
    <row r="10" spans="1:14" ht="38.25" customHeight="1" x14ac:dyDescent="0.25">
      <c r="A10" s="7" t="s">
        <v>11</v>
      </c>
      <c r="B10" s="25">
        <v>533000</v>
      </c>
      <c r="C10" s="19">
        <f>1000000</f>
        <v>1000000</v>
      </c>
      <c r="D10" s="19">
        <f t="shared" si="0"/>
        <v>1533000</v>
      </c>
      <c r="E10" s="19">
        <f>1515380</f>
        <v>1515380</v>
      </c>
      <c r="F10" s="25">
        <v>1756500</v>
      </c>
      <c r="G10" s="3">
        <v>1000000</v>
      </c>
      <c r="H10" s="40">
        <v>1000000</v>
      </c>
      <c r="I10" s="66">
        <v>1538407.2</v>
      </c>
      <c r="J10" s="66">
        <v>1700000</v>
      </c>
      <c r="K10" s="66">
        <v>700000</v>
      </c>
      <c r="L10" s="66"/>
    </row>
    <row r="11" spans="1:14" ht="19.5" customHeight="1" x14ac:dyDescent="0.25">
      <c r="A11" s="7" t="s">
        <v>12</v>
      </c>
      <c r="B11" s="25">
        <v>390000</v>
      </c>
      <c r="C11" s="19"/>
      <c r="D11" s="19">
        <f t="shared" si="0"/>
        <v>390000</v>
      </c>
      <c r="E11" s="19">
        <f>389988</f>
        <v>389988</v>
      </c>
      <c r="F11" s="25">
        <v>200000</v>
      </c>
      <c r="G11" s="3">
        <v>200000</v>
      </c>
      <c r="H11" s="28">
        <v>200000</v>
      </c>
      <c r="I11" s="66"/>
      <c r="J11" s="66">
        <v>90000</v>
      </c>
      <c r="K11" s="66">
        <v>90000</v>
      </c>
      <c r="L11" s="66"/>
    </row>
    <row r="12" spans="1:14" ht="26.25" customHeight="1" x14ac:dyDescent="0.25">
      <c r="A12" s="8" t="s">
        <v>59</v>
      </c>
      <c r="B12" s="25">
        <v>63700</v>
      </c>
      <c r="C12" s="13">
        <f>45000+90000+98000</f>
        <v>233000</v>
      </c>
      <c r="D12" s="13">
        <f t="shared" si="0"/>
        <v>296700</v>
      </c>
      <c r="E12" s="13">
        <f>63700+99000+44856+97999.92</f>
        <v>305555.92</v>
      </c>
      <c r="F12" s="25">
        <v>95000</v>
      </c>
      <c r="G12" s="3">
        <v>95000</v>
      </c>
      <c r="H12" s="28">
        <v>95000</v>
      </c>
      <c r="I12" s="66"/>
      <c r="J12" s="66">
        <v>50000</v>
      </c>
      <c r="K12" s="66">
        <v>50000</v>
      </c>
      <c r="L12" s="66"/>
    </row>
    <row r="13" spans="1:14" ht="24" customHeight="1" x14ac:dyDescent="0.25">
      <c r="A13" s="8" t="s">
        <v>13</v>
      </c>
      <c r="B13" s="26">
        <v>1793350</v>
      </c>
      <c r="C13" s="13">
        <f>-1224525+80000-371000-80000-200000+5970</f>
        <v>-1789555</v>
      </c>
      <c r="D13" s="13">
        <f t="shared" si="0"/>
        <v>3795</v>
      </c>
      <c r="E13" s="13"/>
      <c r="F13" s="25">
        <v>1500000</v>
      </c>
      <c r="G13" s="3">
        <v>205000</v>
      </c>
      <c r="H13" s="28">
        <v>230000</v>
      </c>
      <c r="I13" s="66">
        <v>424388.2</v>
      </c>
      <c r="J13" s="66">
        <f>1035000-46000</f>
        <v>989000</v>
      </c>
      <c r="K13" s="66">
        <v>310000</v>
      </c>
      <c r="L13" s="66"/>
    </row>
    <row r="14" spans="1:14" ht="24.75" customHeight="1" x14ac:dyDescent="0.25">
      <c r="A14" s="70" t="s">
        <v>73</v>
      </c>
      <c r="B14" s="25"/>
      <c r="C14" s="19"/>
      <c r="D14" s="19"/>
      <c r="E14" s="19"/>
      <c r="F14" s="25"/>
      <c r="G14" s="53">
        <f>SUM(G8:G13)</f>
        <v>2073000</v>
      </c>
      <c r="H14" s="53">
        <f t="shared" ref="H14" si="1">SUM(H8:H11)</f>
        <v>1775000</v>
      </c>
      <c r="I14" s="68">
        <f>SUM(I8:I13)</f>
        <v>2633549.64</v>
      </c>
      <c r="J14" s="68">
        <f t="shared" ref="J14:L14" si="2">SUM(J8:J13)</f>
        <v>4125000</v>
      </c>
      <c r="K14" s="68">
        <f t="shared" si="2"/>
        <v>1546000</v>
      </c>
      <c r="L14" s="68">
        <f t="shared" si="2"/>
        <v>0</v>
      </c>
    </row>
    <row r="15" spans="1:14" ht="18" customHeight="1" x14ac:dyDescent="0.25">
      <c r="A15" s="9" t="s">
        <v>14</v>
      </c>
      <c r="B15" s="24">
        <v>52000</v>
      </c>
      <c r="C15" s="19"/>
      <c r="D15" s="45">
        <f t="shared" ref="D15:D37" si="3">C15+B15</f>
        <v>52000</v>
      </c>
      <c r="E15" s="19">
        <f>12240</f>
        <v>12240</v>
      </c>
      <c r="F15" s="24">
        <v>50000</v>
      </c>
      <c r="G15" s="19">
        <v>50000</v>
      </c>
      <c r="H15" s="33">
        <v>50000</v>
      </c>
      <c r="I15" s="66">
        <v>19540</v>
      </c>
      <c r="J15" s="66">
        <v>50000</v>
      </c>
      <c r="K15" s="66">
        <v>50000</v>
      </c>
      <c r="L15" s="66"/>
      <c r="M15" s="16"/>
      <c r="N15" s="16"/>
    </row>
    <row r="16" spans="1:14" x14ac:dyDescent="0.25">
      <c r="A16" s="7" t="s">
        <v>15</v>
      </c>
      <c r="B16" s="23">
        <v>62400</v>
      </c>
      <c r="C16" s="19">
        <v>60000</v>
      </c>
      <c r="D16" s="45">
        <f t="shared" si="3"/>
        <v>122400</v>
      </c>
      <c r="E16" s="19">
        <f>81892.9</f>
        <v>81892.899999999994</v>
      </c>
      <c r="F16" s="23">
        <v>139467</v>
      </c>
      <c r="G16" s="19">
        <v>135000</v>
      </c>
      <c r="H16" s="33">
        <v>140000</v>
      </c>
      <c r="I16" s="66">
        <v>63787.1</v>
      </c>
      <c r="J16" s="66">
        <v>90000</v>
      </c>
      <c r="K16" s="66">
        <v>90000</v>
      </c>
      <c r="L16" s="66"/>
      <c r="M16" s="16"/>
      <c r="N16" s="16"/>
    </row>
    <row r="17" spans="1:14" ht="22.5" customHeight="1" x14ac:dyDescent="0.25">
      <c r="A17" s="9" t="s">
        <v>3</v>
      </c>
      <c r="B17" s="24">
        <v>587600</v>
      </c>
      <c r="C17" s="19"/>
      <c r="D17" s="45">
        <f t="shared" si="3"/>
        <v>587600</v>
      </c>
      <c r="E17" s="19">
        <f>129012.31+865.59+6393.24+7533.44+201.32+1282.26+239872.99+10234.49+14135+23531+8220.7+6591.54+47680.04+49496.46+2558+2400+37000</f>
        <v>587008.38</v>
      </c>
      <c r="F17" s="24">
        <v>1575506</v>
      </c>
      <c r="G17" s="19">
        <v>378000</v>
      </c>
      <c r="H17" s="13">
        <v>380000</v>
      </c>
      <c r="I17" s="66">
        <f>29810.52+2761.87</f>
        <v>32572.39</v>
      </c>
      <c r="J17" s="66">
        <v>495000</v>
      </c>
      <c r="K17" s="66">
        <v>374000</v>
      </c>
      <c r="L17" s="66"/>
      <c r="M17" s="16"/>
      <c r="N17" s="16"/>
    </row>
    <row r="18" spans="1:14" ht="21" customHeight="1" x14ac:dyDescent="0.25">
      <c r="A18" s="9" t="s">
        <v>16</v>
      </c>
      <c r="B18" s="24">
        <v>130000</v>
      </c>
      <c r="C18" s="19"/>
      <c r="D18" s="45">
        <f t="shared" si="3"/>
        <v>130000</v>
      </c>
      <c r="E18" s="19">
        <f>7828.11+97178.96+2041+2418+22891.93-2400</f>
        <v>129958</v>
      </c>
      <c r="F18" s="24">
        <v>227665</v>
      </c>
      <c r="G18" s="19">
        <v>207000</v>
      </c>
      <c r="H18" s="13">
        <v>210000</v>
      </c>
      <c r="I18" s="66">
        <v>5690.18</v>
      </c>
      <c r="J18" s="66">
        <v>50000</v>
      </c>
      <c r="K18" s="66">
        <v>50000</v>
      </c>
      <c r="L18" s="66"/>
      <c r="M18" s="16"/>
      <c r="N18" s="16"/>
    </row>
    <row r="19" spans="1:14" ht="23.25" customHeight="1" x14ac:dyDescent="0.25">
      <c r="A19" s="9" t="s">
        <v>4</v>
      </c>
      <c r="B19" s="24">
        <v>104000</v>
      </c>
      <c r="C19" s="19"/>
      <c r="D19" s="45">
        <f t="shared" si="3"/>
        <v>104000</v>
      </c>
      <c r="E19" s="19">
        <f>9214.01+38508.91+48524.03+6350.3+160441.59-159039</f>
        <v>103999.84000000003</v>
      </c>
      <c r="F19" s="24">
        <v>199800</v>
      </c>
      <c r="G19" s="19">
        <v>199000</v>
      </c>
      <c r="H19" s="32">
        <v>200000</v>
      </c>
      <c r="I19" s="66">
        <v>53546.17</v>
      </c>
      <c r="J19" s="66">
        <v>50000</v>
      </c>
      <c r="K19" s="66">
        <v>50000</v>
      </c>
      <c r="L19" s="66"/>
      <c r="M19" s="16"/>
      <c r="N19" s="16"/>
    </row>
    <row r="20" spans="1:14" ht="20.25" customHeight="1" x14ac:dyDescent="0.25">
      <c r="A20" s="9" t="s">
        <v>17</v>
      </c>
      <c r="B20" s="24">
        <v>130000</v>
      </c>
      <c r="C20" s="19"/>
      <c r="D20" s="45">
        <f t="shared" si="3"/>
        <v>130000</v>
      </c>
      <c r="E20" s="19">
        <f>14446+115557-3</f>
        <v>130000</v>
      </c>
      <c r="F20" s="24">
        <v>240000</v>
      </c>
      <c r="G20" s="19">
        <v>200000</v>
      </c>
      <c r="H20" s="13">
        <v>200000</v>
      </c>
      <c r="I20" s="66"/>
      <c r="J20" s="66">
        <v>50000</v>
      </c>
      <c r="K20" s="66">
        <v>50000</v>
      </c>
      <c r="L20" s="66"/>
      <c r="M20" s="16"/>
      <c r="N20" s="16"/>
    </row>
    <row r="21" spans="1:14" ht="23.4" customHeight="1" x14ac:dyDescent="0.25">
      <c r="A21" s="9" t="s">
        <v>18</v>
      </c>
      <c r="B21" s="24">
        <v>260000</v>
      </c>
      <c r="C21" s="19">
        <f>48000</f>
        <v>48000</v>
      </c>
      <c r="D21" s="45">
        <f t="shared" si="3"/>
        <v>308000</v>
      </c>
      <c r="E21" s="19">
        <f>77520+28637+39539.53+300746.4-115551-22892</f>
        <v>307999.93000000005</v>
      </c>
      <c r="F21" s="24">
        <v>150000</v>
      </c>
      <c r="G21" s="19">
        <v>100000</v>
      </c>
      <c r="H21" s="13">
        <v>100000</v>
      </c>
      <c r="I21" s="66"/>
      <c r="J21" s="66">
        <v>50000</v>
      </c>
      <c r="K21" s="66">
        <v>50000</v>
      </c>
      <c r="L21" s="66"/>
    </row>
    <row r="22" spans="1:14" x14ac:dyDescent="0.25">
      <c r="A22" s="9" t="s">
        <v>19</v>
      </c>
      <c r="B22" s="24">
        <v>62400</v>
      </c>
      <c r="C22" s="19"/>
      <c r="D22" s="45">
        <f t="shared" si="3"/>
        <v>62400</v>
      </c>
      <c r="E22" s="19">
        <f>19407.84+42000</f>
        <v>61407.839999999997</v>
      </c>
      <c r="F22" s="24">
        <v>50000</v>
      </c>
      <c r="G22" s="19">
        <v>50000</v>
      </c>
      <c r="H22" s="13">
        <v>50000</v>
      </c>
      <c r="I22" s="66">
        <v>7770.8</v>
      </c>
      <c r="J22" s="66">
        <v>30000</v>
      </c>
      <c r="K22" s="66">
        <v>30000</v>
      </c>
      <c r="L22" s="66"/>
    </row>
    <row r="23" spans="1:14" ht="12.75" customHeight="1" x14ac:dyDescent="0.25">
      <c r="A23" s="9" t="s">
        <v>20</v>
      </c>
      <c r="B23" s="23">
        <v>62400</v>
      </c>
      <c r="C23" s="19">
        <f>95000+50000+95000+95000+95000</f>
        <v>430000</v>
      </c>
      <c r="D23" s="45">
        <f t="shared" si="3"/>
        <v>492400</v>
      </c>
      <c r="E23" s="19">
        <v>492400</v>
      </c>
      <c r="F23" s="23">
        <v>800000</v>
      </c>
      <c r="G23" s="19">
        <v>500000</v>
      </c>
      <c r="H23" s="13">
        <v>500000</v>
      </c>
      <c r="I23" s="66">
        <v>474253.71</v>
      </c>
      <c r="J23" s="66">
        <v>95000</v>
      </c>
      <c r="K23" s="66">
        <v>95000</v>
      </c>
      <c r="L23" s="66"/>
    </row>
    <row r="24" spans="1:14" ht="15.75" customHeight="1" x14ac:dyDescent="0.25">
      <c r="A24" s="9" t="s">
        <v>21</v>
      </c>
      <c r="B24" s="23">
        <v>64350</v>
      </c>
      <c r="C24" s="19">
        <f>56000</f>
        <v>56000</v>
      </c>
      <c r="D24" s="45">
        <f t="shared" si="3"/>
        <v>120350</v>
      </c>
      <c r="E24" s="19">
        <f>133249-12899</f>
        <v>120350</v>
      </c>
      <c r="F24" s="23">
        <v>75000</v>
      </c>
      <c r="G24" s="19">
        <v>75000</v>
      </c>
      <c r="H24" s="13">
        <v>75000</v>
      </c>
      <c r="I24" s="66">
        <v>61228</v>
      </c>
      <c r="J24" s="66">
        <v>75000</v>
      </c>
      <c r="K24" s="66">
        <v>75000</v>
      </c>
      <c r="L24" s="66"/>
    </row>
    <row r="25" spans="1:14" x14ac:dyDescent="0.25">
      <c r="A25" s="9" t="s">
        <v>22</v>
      </c>
      <c r="B25" s="23">
        <v>64350</v>
      </c>
      <c r="C25" s="19"/>
      <c r="D25" s="45">
        <f t="shared" si="3"/>
        <v>64350</v>
      </c>
      <c r="E25" s="19">
        <f>12899</f>
        <v>12899</v>
      </c>
      <c r="F25" s="23">
        <v>80000</v>
      </c>
      <c r="G25" s="19">
        <v>80000</v>
      </c>
      <c r="H25" s="13">
        <v>80000</v>
      </c>
      <c r="I25" s="66">
        <v>68238</v>
      </c>
      <c r="J25" s="66">
        <v>80000</v>
      </c>
      <c r="K25" s="66">
        <v>80000</v>
      </c>
      <c r="L25" s="66"/>
    </row>
    <row r="26" spans="1:14" x14ac:dyDescent="0.25">
      <c r="A26" s="9" t="s">
        <v>8</v>
      </c>
      <c r="B26" s="23">
        <v>64350</v>
      </c>
      <c r="C26" s="19">
        <f>93525</f>
        <v>93525</v>
      </c>
      <c r="D26" s="45">
        <f t="shared" si="3"/>
        <v>157875</v>
      </c>
      <c r="E26" s="19">
        <f>52168.26+64350+5401</f>
        <v>121919.26000000001</v>
      </c>
      <c r="F26" s="23">
        <v>98000</v>
      </c>
      <c r="G26" s="19">
        <v>98000</v>
      </c>
      <c r="H26" s="33">
        <v>98000</v>
      </c>
      <c r="I26" s="66">
        <v>236092.79999999999</v>
      </c>
      <c r="J26" s="66">
        <v>98000</v>
      </c>
      <c r="K26" s="66">
        <v>98000</v>
      </c>
      <c r="L26" s="66"/>
    </row>
    <row r="27" spans="1:14" ht="24.75" customHeight="1" x14ac:dyDescent="0.25">
      <c r="A27" s="9" t="s">
        <v>38</v>
      </c>
      <c r="B27" s="23">
        <v>63700</v>
      </c>
      <c r="C27" s="19">
        <f>95000</f>
        <v>95000</v>
      </c>
      <c r="D27" s="45">
        <f t="shared" si="3"/>
        <v>158700</v>
      </c>
      <c r="E27" s="19">
        <f>65300+98801-5400-1</f>
        <v>158700</v>
      </c>
      <c r="F27" s="23">
        <v>800000</v>
      </c>
      <c r="G27" s="19">
        <f>500000</f>
        <v>500000</v>
      </c>
      <c r="H27" s="13">
        <v>500000</v>
      </c>
      <c r="I27" s="66">
        <v>45164</v>
      </c>
      <c r="J27" s="66"/>
      <c r="K27" s="66"/>
      <c r="L27" s="66"/>
    </row>
    <row r="28" spans="1:14" ht="24.75" customHeight="1" x14ac:dyDescent="0.25">
      <c r="A28" s="9" t="s">
        <v>23</v>
      </c>
      <c r="B28" s="24">
        <v>2028000</v>
      </c>
      <c r="C28" s="19"/>
      <c r="D28" s="45">
        <f t="shared" si="3"/>
        <v>2028000</v>
      </c>
      <c r="E28" s="19">
        <f>825361.91+35137</f>
        <v>860498.91</v>
      </c>
      <c r="F28" s="24">
        <v>2200000</v>
      </c>
      <c r="G28" s="19">
        <v>1500000</v>
      </c>
      <c r="H28" s="34">
        <v>1500000</v>
      </c>
      <c r="I28" s="66">
        <v>766314.02</v>
      </c>
      <c r="J28" s="66">
        <v>2000000</v>
      </c>
      <c r="K28" s="66">
        <v>2000000</v>
      </c>
      <c r="L28" s="66"/>
    </row>
    <row r="29" spans="1:14" ht="15" customHeight="1" x14ac:dyDescent="0.25">
      <c r="A29" s="9" t="s">
        <v>24</v>
      </c>
      <c r="B29" s="24">
        <v>2600000</v>
      </c>
      <c r="C29" s="19"/>
      <c r="D29" s="45">
        <f t="shared" si="3"/>
        <v>2600000</v>
      </c>
      <c r="E29" s="19">
        <f>1332273.99</f>
        <v>1332273.99</v>
      </c>
      <c r="F29" s="24">
        <v>2200000</v>
      </c>
      <c r="G29" s="19">
        <v>1500000</v>
      </c>
      <c r="H29" s="34">
        <v>1500000</v>
      </c>
      <c r="I29" s="66">
        <v>1332046.32</v>
      </c>
      <c r="J29" s="66">
        <v>1000000</v>
      </c>
      <c r="K29" s="66">
        <v>1000000</v>
      </c>
      <c r="L29" s="66"/>
    </row>
    <row r="30" spans="1:14" ht="18.75" customHeight="1" x14ac:dyDescent="0.25">
      <c r="A30" s="9" t="s">
        <v>25</v>
      </c>
      <c r="B30" s="24">
        <v>520000</v>
      </c>
      <c r="C30" s="19"/>
      <c r="D30" s="45">
        <f t="shared" si="3"/>
        <v>520000</v>
      </c>
      <c r="E30" s="19">
        <f>123719.69</f>
        <v>123719.69</v>
      </c>
      <c r="F30" s="24">
        <v>538188</v>
      </c>
      <c r="G30" s="19">
        <v>500000</v>
      </c>
      <c r="H30" s="33">
        <v>500000</v>
      </c>
      <c r="I30" s="66">
        <v>388108.84</v>
      </c>
      <c r="J30" s="66">
        <v>500000</v>
      </c>
      <c r="K30" s="66">
        <v>500000</v>
      </c>
      <c r="L30" s="66"/>
    </row>
    <row r="31" spans="1:14" ht="23.4" customHeight="1" x14ac:dyDescent="0.25">
      <c r="A31" s="9" t="s">
        <v>26</v>
      </c>
      <c r="B31" s="24">
        <v>1300000</v>
      </c>
      <c r="C31" s="19">
        <f>400000</f>
        <v>400000</v>
      </c>
      <c r="D31" s="45">
        <f t="shared" si="3"/>
        <v>1700000</v>
      </c>
      <c r="E31" s="19">
        <f>882171.3+200000</f>
        <v>1082171.3</v>
      </c>
      <c r="F31" s="24">
        <v>1500000</v>
      </c>
      <c r="G31" s="19">
        <v>1000000</v>
      </c>
      <c r="H31" s="35">
        <v>1142000</v>
      </c>
      <c r="I31" s="66">
        <v>1123719.52</v>
      </c>
      <c r="J31" s="66">
        <v>1249850</v>
      </c>
      <c r="K31" s="66">
        <v>1000000</v>
      </c>
      <c r="L31" s="66"/>
    </row>
    <row r="32" spans="1:14" ht="12" customHeight="1" x14ac:dyDescent="0.25">
      <c r="A32" s="9" t="s">
        <v>27</v>
      </c>
      <c r="B32" s="24">
        <v>2080000</v>
      </c>
      <c r="C32" s="19">
        <f>400000</f>
        <v>400000</v>
      </c>
      <c r="D32" s="45">
        <f t="shared" si="3"/>
        <v>2480000</v>
      </c>
      <c r="E32" s="19">
        <f>1667383.11+17447.98</f>
        <v>1684831.09</v>
      </c>
      <c r="F32" s="24">
        <v>1600000</v>
      </c>
      <c r="G32" s="19">
        <v>1000000</v>
      </c>
      <c r="H32" s="35">
        <v>1000000</v>
      </c>
      <c r="I32" s="66">
        <v>999917.64</v>
      </c>
      <c r="J32" s="66">
        <v>2000000</v>
      </c>
      <c r="K32" s="66">
        <v>1000000</v>
      </c>
      <c r="L32" s="66"/>
    </row>
    <row r="33" spans="1:12" ht="13.5" customHeight="1" x14ac:dyDescent="0.25">
      <c r="A33" s="9" t="s">
        <v>28</v>
      </c>
      <c r="B33" s="24">
        <v>390000</v>
      </c>
      <c r="C33" s="19">
        <f>98000+350000</f>
        <v>448000</v>
      </c>
      <c r="D33" s="45">
        <f t="shared" si="3"/>
        <v>838000</v>
      </c>
      <c r="E33" s="19">
        <f>855447.98-17447.98</f>
        <v>838000</v>
      </c>
      <c r="F33" s="24">
        <v>1500000</v>
      </c>
      <c r="G33" s="19">
        <v>800000</v>
      </c>
      <c r="H33" s="35">
        <v>800000</v>
      </c>
      <c r="I33" s="66">
        <v>597213.88</v>
      </c>
      <c r="J33" s="66">
        <v>1000000</v>
      </c>
      <c r="K33" s="66">
        <v>1000000</v>
      </c>
      <c r="L33" s="66"/>
    </row>
    <row r="34" spans="1:12" ht="22.5" customHeight="1" x14ac:dyDescent="0.25">
      <c r="A34" s="9" t="s">
        <v>60</v>
      </c>
      <c r="B34" s="24"/>
      <c r="C34" s="19"/>
      <c r="D34" s="45">
        <f t="shared" si="3"/>
        <v>0</v>
      </c>
      <c r="E34" s="19"/>
      <c r="F34" s="24">
        <v>60000</v>
      </c>
      <c r="G34" s="19">
        <v>60000</v>
      </c>
      <c r="H34" s="13">
        <v>60000</v>
      </c>
      <c r="I34" s="66">
        <f>13220</f>
        <v>13220</v>
      </c>
      <c r="J34" s="66">
        <v>30000</v>
      </c>
      <c r="K34" s="66">
        <v>30000</v>
      </c>
      <c r="L34" s="66"/>
    </row>
    <row r="35" spans="1:12" ht="23.25" customHeight="1" x14ac:dyDescent="0.25">
      <c r="A35" s="9" t="s">
        <v>61</v>
      </c>
      <c r="B35" s="24"/>
      <c r="C35" s="19"/>
      <c r="D35" s="45">
        <f t="shared" si="3"/>
        <v>0</v>
      </c>
      <c r="E35" s="19"/>
      <c r="F35" s="24">
        <v>80000</v>
      </c>
      <c r="G35" s="19">
        <v>80000</v>
      </c>
      <c r="H35" s="13">
        <v>80000</v>
      </c>
      <c r="I35" s="66">
        <v>5558</v>
      </c>
      <c r="J35" s="66">
        <v>30000</v>
      </c>
      <c r="K35" s="66">
        <v>30000</v>
      </c>
      <c r="L35" s="66"/>
    </row>
    <row r="36" spans="1:12" ht="15" customHeight="1" x14ac:dyDescent="0.25">
      <c r="A36" s="9" t="s">
        <v>2</v>
      </c>
      <c r="B36" s="24">
        <v>793000</v>
      </c>
      <c r="C36" s="19">
        <f>820000</f>
        <v>820000</v>
      </c>
      <c r="D36" s="45">
        <f t="shared" si="3"/>
        <v>1613000</v>
      </c>
      <c r="E36" s="19">
        <f>958762.55+303000</f>
        <v>1261762.55</v>
      </c>
      <c r="F36" s="24">
        <v>1750000</v>
      </c>
      <c r="G36" s="19">
        <v>1000000</v>
      </c>
      <c r="H36" s="36">
        <v>1000000</v>
      </c>
      <c r="I36" s="66">
        <v>1993214.5</v>
      </c>
      <c r="J36" s="66">
        <v>1098000</v>
      </c>
      <c r="K36" s="66">
        <v>98000</v>
      </c>
      <c r="L36" s="66"/>
    </row>
    <row r="37" spans="1:12" ht="15" customHeight="1" x14ac:dyDescent="0.25">
      <c r="A37" s="9" t="s">
        <v>33</v>
      </c>
      <c r="B37" s="24">
        <v>100000</v>
      </c>
      <c r="C37" s="19">
        <f>90000-10000+98000</f>
        <v>178000</v>
      </c>
      <c r="D37" s="45">
        <f t="shared" si="3"/>
        <v>278000</v>
      </c>
      <c r="E37" s="19">
        <f>2971.2+15302.4+159039+100000</f>
        <v>277312.59999999998</v>
      </c>
      <c r="F37" s="24">
        <v>1000000</v>
      </c>
      <c r="G37" s="19"/>
      <c r="H37" s="13"/>
      <c r="I37" s="66">
        <v>685101.5</v>
      </c>
      <c r="J37" s="66"/>
      <c r="K37" s="66"/>
      <c r="L37" s="66"/>
    </row>
    <row r="38" spans="1:12" x14ac:dyDescent="0.25">
      <c r="A38" s="20" t="s">
        <v>0</v>
      </c>
      <c r="B38" s="47">
        <f t="shared" ref="B38:I38" si="4">SUM(B15:B37)</f>
        <v>11518550</v>
      </c>
      <c r="C38" s="47">
        <f t="shared" si="4"/>
        <v>3028525</v>
      </c>
      <c r="D38" s="47">
        <f t="shared" si="4"/>
        <v>14547075</v>
      </c>
      <c r="E38" s="47">
        <f t="shared" si="4"/>
        <v>9781345.2800000012</v>
      </c>
      <c r="F38" s="45">
        <f t="shared" si="4"/>
        <v>16913626</v>
      </c>
      <c r="G38" s="22">
        <f t="shared" si="4"/>
        <v>10012000</v>
      </c>
      <c r="H38" s="22">
        <f t="shared" si="4"/>
        <v>10165000</v>
      </c>
      <c r="I38" s="68">
        <f t="shared" si="4"/>
        <v>8972297.3699999992</v>
      </c>
      <c r="J38" s="68">
        <f>J15+J16+J17+J18+J19+J20+J21+J22+J23+J24+J25+J26+J28+J29+J30+J31+J32+J33+J34+J35+J36</f>
        <v>10120850</v>
      </c>
      <c r="K38" s="68">
        <f>SUM(K15:K37)</f>
        <v>7750000</v>
      </c>
      <c r="L38" s="68">
        <f>SUM(L15:L37)</f>
        <v>0</v>
      </c>
    </row>
    <row r="39" spans="1:12" ht="39" customHeight="1" x14ac:dyDescent="0.25">
      <c r="A39" s="4" t="s">
        <v>9</v>
      </c>
      <c r="B39" s="4" t="s">
        <v>47</v>
      </c>
      <c r="C39" s="15" t="s">
        <v>48</v>
      </c>
      <c r="D39" s="15" t="s">
        <v>49</v>
      </c>
      <c r="E39" s="15" t="s">
        <v>50</v>
      </c>
      <c r="F39" s="17" t="s">
        <v>46</v>
      </c>
      <c r="G39" s="17" t="s">
        <v>51</v>
      </c>
      <c r="H39" s="31">
        <v>2025</v>
      </c>
      <c r="I39" s="76" t="s">
        <v>72</v>
      </c>
      <c r="J39" s="81" t="s">
        <v>65</v>
      </c>
      <c r="K39" s="82" t="s">
        <v>64</v>
      </c>
      <c r="L39" s="82" t="s">
        <v>63</v>
      </c>
    </row>
    <row r="40" spans="1:12" x14ac:dyDescent="0.25">
      <c r="A40" s="48" t="s">
        <v>29</v>
      </c>
      <c r="B40" s="3">
        <v>8450000</v>
      </c>
      <c r="C40" s="19">
        <f>-61024</f>
        <v>-61024</v>
      </c>
      <c r="D40" s="19">
        <f>C40+B40</f>
        <v>8388976</v>
      </c>
      <c r="E40" s="19">
        <v>4032371.99</v>
      </c>
      <c r="F40" s="3">
        <v>15865628</v>
      </c>
      <c r="G40" s="19">
        <v>7000000</v>
      </c>
      <c r="H40" s="37">
        <v>7398000</v>
      </c>
      <c r="I40" s="66">
        <v>3486926.13</v>
      </c>
      <c r="J40" s="66">
        <v>15000000</v>
      </c>
      <c r="K40" s="66">
        <v>9000000</v>
      </c>
      <c r="L40" s="66"/>
    </row>
    <row r="41" spans="1:12" x14ac:dyDescent="0.25">
      <c r="A41" s="9" t="s">
        <v>34</v>
      </c>
      <c r="B41" s="3">
        <v>13000</v>
      </c>
      <c r="C41" s="49">
        <f>61024-40000</f>
        <v>21024</v>
      </c>
      <c r="D41" s="19">
        <f>C41+B41</f>
        <v>34024</v>
      </c>
      <c r="E41" s="19">
        <v>607.95000000000005</v>
      </c>
      <c r="F41" s="3">
        <v>2000</v>
      </c>
      <c r="G41" s="19">
        <v>2000</v>
      </c>
      <c r="H41" s="37">
        <v>2000</v>
      </c>
      <c r="I41" s="66">
        <v>552.64</v>
      </c>
      <c r="J41" s="66">
        <v>2000</v>
      </c>
      <c r="K41" s="66">
        <v>2000</v>
      </c>
      <c r="L41" s="66"/>
    </row>
    <row r="42" spans="1:12" ht="16.5" customHeight="1" x14ac:dyDescent="0.25">
      <c r="A42" s="20" t="s">
        <v>30</v>
      </c>
      <c r="B42" s="38">
        <f>SUM(B40:B41)</f>
        <v>8463000</v>
      </c>
      <c r="C42" s="38">
        <f t="shared" ref="C42:F42" si="5">SUM(C40:C41)</f>
        <v>-40000</v>
      </c>
      <c r="D42" s="38">
        <f t="shared" si="5"/>
        <v>8423000</v>
      </c>
      <c r="E42" s="38">
        <f t="shared" si="5"/>
        <v>4032979.9400000004</v>
      </c>
      <c r="F42" s="38">
        <f t="shared" si="5"/>
        <v>15867628</v>
      </c>
      <c r="G42" s="54">
        <f>SUM(G40:G41)</f>
        <v>7002000</v>
      </c>
      <c r="H42" s="54">
        <f t="shared" ref="H42" si="6">SUM(H40:H41)</f>
        <v>7400000</v>
      </c>
      <c r="I42" s="68">
        <f>SUM(I40:I41)</f>
        <v>3487478.77</v>
      </c>
      <c r="J42" s="86">
        <f>SUM(J40:J41)</f>
        <v>15002000</v>
      </c>
      <c r="K42" s="86">
        <f>SUM(K40:K41)</f>
        <v>9002000</v>
      </c>
      <c r="L42" s="86">
        <f>SUM(L40:L41)</f>
        <v>0</v>
      </c>
    </row>
    <row r="43" spans="1:12" ht="17.25" customHeight="1" x14ac:dyDescent="0.25">
      <c r="A43" s="20" t="s">
        <v>31</v>
      </c>
      <c r="B43" s="38" t="e">
        <f>B38+B42+#REF!</f>
        <v>#REF!</v>
      </c>
      <c r="C43" s="38" t="e">
        <f>C38+C42+#REF!</f>
        <v>#REF!</v>
      </c>
      <c r="D43" s="38" t="e">
        <f>D38+D42+#REF!</f>
        <v>#REF!</v>
      </c>
      <c r="E43" s="38" t="e">
        <f>E38+E42+#REF!</f>
        <v>#REF!</v>
      </c>
      <c r="F43" s="38" t="e">
        <f>F38+F42+#REF!+#REF!+#REF!+#REF!</f>
        <v>#REF!</v>
      </c>
      <c r="G43" s="38" t="e">
        <f>G38+G42+#REF!+#REF!+#REF!</f>
        <v>#REF!</v>
      </c>
      <c r="H43" s="11" t="e">
        <f>H38+H42+#REF!+#REF!+#REF!+#REF!</f>
        <v>#REF!</v>
      </c>
      <c r="I43" s="68">
        <f>I14+I38+I42</f>
        <v>15093325.779999999</v>
      </c>
      <c r="J43" s="68">
        <f>J14+J38+J42</f>
        <v>29247850</v>
      </c>
      <c r="K43" s="68">
        <f>K14+K38+K42</f>
        <v>18298000</v>
      </c>
      <c r="L43" s="68">
        <f>L14+L38+L42</f>
        <v>0</v>
      </c>
    </row>
    <row r="44" spans="1:12" ht="18" customHeight="1" x14ac:dyDescent="0.25">
      <c r="A44" s="94" t="s">
        <v>7</v>
      </c>
      <c r="B44" s="95"/>
      <c r="C44" s="95"/>
      <c r="D44" s="95"/>
      <c r="E44" s="95"/>
      <c r="F44" s="95"/>
      <c r="G44" s="96"/>
      <c r="H44" s="30"/>
      <c r="I44" s="66"/>
      <c r="J44" s="67"/>
      <c r="K44" s="66"/>
      <c r="L44" s="66"/>
    </row>
    <row r="45" spans="1:12" ht="15.75" customHeight="1" x14ac:dyDescent="0.25">
      <c r="A45" s="9" t="s">
        <v>40</v>
      </c>
      <c r="B45" s="21">
        <v>28900000</v>
      </c>
      <c r="C45" s="19">
        <f>2721000+5900000+950000</f>
        <v>9571000</v>
      </c>
      <c r="D45" s="19">
        <f>C45+B45</f>
        <v>38471000</v>
      </c>
      <c r="E45" s="19">
        <v>28055146.940000001</v>
      </c>
      <c r="F45" s="21">
        <v>35000000</v>
      </c>
      <c r="G45" s="19">
        <f>G46+G47+G50+G51+G48</f>
        <v>29534531</v>
      </c>
      <c r="H45" s="13"/>
      <c r="I45" s="66">
        <v>4298423</v>
      </c>
      <c r="J45" s="66"/>
      <c r="K45" s="66"/>
      <c r="L45" s="66"/>
    </row>
    <row r="46" spans="1:12" ht="14.25" customHeight="1" x14ac:dyDescent="0.25">
      <c r="A46" s="9" t="s">
        <v>74</v>
      </c>
      <c r="B46" s="21"/>
      <c r="C46" s="19"/>
      <c r="D46" s="19"/>
      <c r="E46" s="19"/>
      <c r="F46" s="19">
        <v>16000000</v>
      </c>
      <c r="G46" s="19">
        <v>12000000</v>
      </c>
      <c r="H46" s="13"/>
      <c r="I46" s="66">
        <v>4682989.66</v>
      </c>
      <c r="J46" s="66">
        <v>23000000</v>
      </c>
      <c r="K46" s="66">
        <v>19498050</v>
      </c>
      <c r="L46" s="66"/>
    </row>
    <row r="47" spans="1:12" ht="13.5" customHeight="1" x14ac:dyDescent="0.25">
      <c r="A47" s="9" t="s">
        <v>80</v>
      </c>
      <c r="B47" s="21"/>
      <c r="C47" s="19"/>
      <c r="D47" s="19"/>
      <c r="E47" s="19"/>
      <c r="F47" s="19">
        <v>7000000</v>
      </c>
      <c r="G47" s="19">
        <v>5000000</v>
      </c>
      <c r="H47" s="13"/>
      <c r="I47" s="66">
        <v>3405664.41</v>
      </c>
      <c r="J47" s="66">
        <v>10000000</v>
      </c>
      <c r="K47" s="66">
        <v>10000000</v>
      </c>
      <c r="L47" s="66"/>
    </row>
    <row r="48" spans="1:12" ht="15.75" customHeight="1" x14ac:dyDescent="0.25">
      <c r="A48" s="9" t="s">
        <v>75</v>
      </c>
      <c r="B48" s="21"/>
      <c r="C48" s="19"/>
      <c r="D48" s="19"/>
      <c r="E48" s="19"/>
      <c r="F48" s="19">
        <v>12000000</v>
      </c>
      <c r="G48" s="19">
        <v>10534531</v>
      </c>
      <c r="H48" s="13"/>
      <c r="I48" s="66"/>
      <c r="J48" s="66">
        <v>10000000</v>
      </c>
      <c r="K48" s="66">
        <v>10000000</v>
      </c>
      <c r="L48" s="66"/>
    </row>
    <row r="49" spans="1:12" ht="15.75" customHeight="1" x14ac:dyDescent="0.25">
      <c r="A49" s="9" t="s">
        <v>79</v>
      </c>
      <c r="B49" s="21"/>
      <c r="C49" s="19"/>
      <c r="D49" s="19"/>
      <c r="E49" s="19"/>
      <c r="F49" s="19"/>
      <c r="G49" s="19"/>
      <c r="H49" s="13"/>
      <c r="I49" s="66"/>
      <c r="J49" s="66"/>
      <c r="K49" s="66">
        <v>10000000</v>
      </c>
      <c r="L49" s="66"/>
    </row>
    <row r="50" spans="1:12" ht="15.75" customHeight="1" x14ac:dyDescent="0.25">
      <c r="A50" s="9" t="s">
        <v>1</v>
      </c>
      <c r="B50" s="21">
        <v>1040000</v>
      </c>
      <c r="C50" s="19"/>
      <c r="D50" s="19">
        <f>B50</f>
        <v>1040000</v>
      </c>
      <c r="E50" s="19">
        <v>1040000</v>
      </c>
      <c r="F50" s="21">
        <v>1200000</v>
      </c>
      <c r="G50" s="19">
        <v>1000000</v>
      </c>
      <c r="H50" s="13"/>
      <c r="I50" s="66"/>
      <c r="J50" s="66">
        <f>1000000+1000000</f>
        <v>2000000</v>
      </c>
      <c r="K50" s="66">
        <f>1000000+1000000</f>
        <v>2000000</v>
      </c>
      <c r="L50" s="66"/>
    </row>
    <row r="51" spans="1:12" ht="26.25" customHeight="1" x14ac:dyDescent="0.25">
      <c r="A51" s="9" t="s">
        <v>62</v>
      </c>
      <c r="B51" s="21"/>
      <c r="C51" s="19"/>
      <c r="D51" s="19"/>
      <c r="E51" s="19"/>
      <c r="F51" s="21"/>
      <c r="G51" s="19">
        <v>1000000</v>
      </c>
      <c r="H51" s="13"/>
      <c r="I51" s="66">
        <f>994467.92+12207.73</f>
        <v>1006675.65</v>
      </c>
      <c r="J51" s="66"/>
      <c r="K51" s="66"/>
      <c r="L51" s="66"/>
    </row>
    <row r="52" spans="1:12" ht="15.75" customHeight="1" x14ac:dyDescent="0.25">
      <c r="A52" s="50" t="s">
        <v>54</v>
      </c>
      <c r="B52" s="21"/>
      <c r="C52" s="19"/>
      <c r="D52" s="19"/>
      <c r="E52" s="19"/>
      <c r="F52" s="21"/>
      <c r="G52" s="19">
        <f>G45</f>
        <v>29534531</v>
      </c>
      <c r="H52" s="13"/>
      <c r="I52" s="68">
        <f>SUM(I45:I51)</f>
        <v>13393752.720000001</v>
      </c>
      <c r="J52" s="68">
        <f t="shared" ref="J52:L52" si="7">SUM(J45:J51)</f>
        <v>45000000</v>
      </c>
      <c r="K52" s="68">
        <f t="shared" si="7"/>
        <v>51498050</v>
      </c>
      <c r="L52" s="68">
        <f t="shared" si="7"/>
        <v>0</v>
      </c>
    </row>
    <row r="53" spans="1:12" ht="19.2" customHeight="1" x14ac:dyDescent="0.25">
      <c r="A53" s="51" t="s">
        <v>35</v>
      </c>
      <c r="B53" s="38" t="e">
        <f>B43+#REF!</f>
        <v>#REF!</v>
      </c>
      <c r="C53" s="38" t="e">
        <f>C43+#REF!</f>
        <v>#REF!</v>
      </c>
      <c r="D53" s="38" t="e">
        <f>D43+#REF!</f>
        <v>#REF!</v>
      </c>
      <c r="E53" s="38" t="e">
        <f>E43+#REF!</f>
        <v>#REF!</v>
      </c>
      <c r="F53" s="38" t="e">
        <f>F43+#REF!</f>
        <v>#REF!</v>
      </c>
      <c r="G53" s="43" t="e">
        <f>G52+G43</f>
        <v>#REF!</v>
      </c>
      <c r="H53" s="43" t="e">
        <f t="shared" ref="H53" si="8">H52+H43</f>
        <v>#REF!</v>
      </c>
      <c r="I53" s="79">
        <f>I43+I52</f>
        <v>28487078.5</v>
      </c>
      <c r="J53" s="79">
        <f>J52+J43</f>
        <v>74247850</v>
      </c>
      <c r="K53" s="79">
        <f>K52+K43</f>
        <v>69796050</v>
      </c>
      <c r="L53" s="79">
        <f>L52+L43</f>
        <v>0</v>
      </c>
    </row>
    <row r="54" spans="1:12" x14ac:dyDescent="0.25">
      <c r="B54" s="10"/>
      <c r="I54" s="80"/>
      <c r="J54" s="80"/>
      <c r="K54" s="87"/>
      <c r="L54" s="80"/>
    </row>
    <row r="55" spans="1:12" x14ac:dyDescent="0.25">
      <c r="A55" s="71" t="s">
        <v>76</v>
      </c>
      <c r="B55" s="72"/>
      <c r="C55" s="12"/>
      <c r="D55" s="12"/>
      <c r="E55" s="12"/>
      <c r="F55" s="12"/>
      <c r="G55" s="13"/>
      <c r="H55" s="13"/>
      <c r="I55" s="66"/>
      <c r="J55" s="66"/>
      <c r="K55" s="88"/>
      <c r="L55" s="66"/>
    </row>
    <row r="56" spans="1:12" ht="66" x14ac:dyDescent="0.25">
      <c r="A56" s="73" t="s">
        <v>67</v>
      </c>
      <c r="B56" s="12"/>
      <c r="C56" s="12"/>
      <c r="D56" s="12"/>
      <c r="E56" s="12"/>
      <c r="F56" s="12"/>
      <c r="G56" s="13"/>
      <c r="H56" s="13"/>
      <c r="I56" s="66"/>
      <c r="J56" s="66"/>
      <c r="K56" s="66">
        <v>120000</v>
      </c>
      <c r="L56" s="66"/>
    </row>
    <row r="57" spans="1:12" ht="55.95" customHeight="1" x14ac:dyDescent="0.25">
      <c r="A57" s="73" t="s">
        <v>68</v>
      </c>
      <c r="B57" s="12"/>
      <c r="C57" s="12"/>
      <c r="D57" s="12"/>
      <c r="E57" s="12"/>
      <c r="F57" s="12"/>
      <c r="G57" s="13"/>
      <c r="H57" s="13"/>
      <c r="I57" s="66"/>
      <c r="J57" s="66"/>
      <c r="K57" s="66">
        <v>110000</v>
      </c>
      <c r="L57" s="66"/>
    </row>
    <row r="58" spans="1:12" ht="13.95" customHeight="1" x14ac:dyDescent="0.25">
      <c r="A58" s="73"/>
      <c r="B58" s="12"/>
      <c r="C58" s="12"/>
      <c r="D58" s="12"/>
      <c r="E58" s="12"/>
      <c r="F58" s="12"/>
      <c r="G58" s="13"/>
      <c r="H58" s="13"/>
      <c r="I58" s="66"/>
      <c r="J58" s="66"/>
      <c r="K58" s="68">
        <f>K53+K56+K57</f>
        <v>70026050</v>
      </c>
      <c r="L58" s="68">
        <f>L53+L56+L57</f>
        <v>0</v>
      </c>
    </row>
    <row r="59" spans="1:12" ht="13.95" customHeight="1" x14ac:dyDescent="0.25">
      <c r="A59" s="73"/>
      <c r="B59" s="12"/>
      <c r="C59" s="12"/>
      <c r="D59" s="12"/>
      <c r="E59" s="12"/>
      <c r="F59" s="12"/>
      <c r="G59" s="13"/>
      <c r="H59" s="13"/>
      <c r="I59" s="66"/>
      <c r="J59" s="66"/>
      <c r="K59" s="66"/>
      <c r="L59" s="66"/>
    </row>
    <row r="60" spans="1:12" x14ac:dyDescent="0.25">
      <c r="A60" s="12" t="s">
        <v>66</v>
      </c>
      <c r="B60" s="72"/>
      <c r="C60" s="12"/>
      <c r="D60" s="12"/>
      <c r="E60" s="12"/>
      <c r="F60" s="12"/>
      <c r="G60" s="13"/>
      <c r="H60" s="13"/>
      <c r="I60" s="66"/>
      <c r="J60" s="66"/>
      <c r="K60" s="66">
        <f>6096250+9306550-5000000-526200-5000000-500000-46000-200000+12875901</f>
        <v>17006501</v>
      </c>
      <c r="L60" s="66"/>
    </row>
    <row r="61" spans="1:12" x14ac:dyDescent="0.25">
      <c r="A61" s="12" t="s">
        <v>77</v>
      </c>
      <c r="B61" s="72"/>
      <c r="C61" s="12"/>
      <c r="D61" s="12"/>
      <c r="E61" s="12"/>
      <c r="F61" s="12"/>
      <c r="G61" s="13"/>
      <c r="H61" s="13"/>
      <c r="I61" s="66"/>
      <c r="J61" s="66"/>
      <c r="K61" s="66">
        <f>11670300+526200</f>
        <v>12196500</v>
      </c>
      <c r="L61" s="66"/>
    </row>
    <row r="62" spans="1:12" x14ac:dyDescent="0.25">
      <c r="A62" s="12"/>
      <c r="B62" s="72"/>
      <c r="C62" s="12"/>
      <c r="D62" s="12"/>
      <c r="E62" s="12"/>
      <c r="F62" s="12"/>
      <c r="G62" s="13"/>
      <c r="H62" s="13"/>
      <c r="I62" s="66"/>
      <c r="J62" s="66"/>
      <c r="K62" s="66"/>
      <c r="L62" s="66"/>
    </row>
    <row r="63" spans="1:12" x14ac:dyDescent="0.25">
      <c r="A63" s="73"/>
      <c r="B63" s="12"/>
      <c r="C63" s="12"/>
      <c r="D63" s="12"/>
      <c r="E63" s="12"/>
      <c r="F63" s="12"/>
      <c r="G63" s="13"/>
      <c r="H63" s="13"/>
      <c r="I63" s="66"/>
      <c r="J63" s="66"/>
      <c r="K63" s="66"/>
      <c r="L63" s="66"/>
    </row>
    <row r="64" spans="1:12" x14ac:dyDescent="0.25">
      <c r="A64" s="73"/>
      <c r="B64" s="12"/>
      <c r="C64" s="12"/>
      <c r="D64" s="12"/>
      <c r="E64" s="12"/>
      <c r="F64" s="12"/>
      <c r="G64" s="13"/>
      <c r="H64" s="13"/>
      <c r="I64" s="66"/>
      <c r="J64" s="66"/>
      <c r="K64" s="66"/>
      <c r="L64" s="66"/>
    </row>
    <row r="65" spans="1:12" x14ac:dyDescent="0.25">
      <c r="A65" s="74" t="s">
        <v>69</v>
      </c>
      <c r="B65" s="12"/>
      <c r="C65" s="12"/>
      <c r="D65" s="12"/>
      <c r="E65" s="12"/>
      <c r="F65" s="12"/>
      <c r="G65" s="13"/>
      <c r="H65" s="13"/>
      <c r="I65" s="66"/>
      <c r="J65" s="66"/>
      <c r="K65" s="68">
        <f>K58+K60+K61</f>
        <v>99229051</v>
      </c>
      <c r="L65" s="68">
        <f>L58+L60+L61</f>
        <v>0</v>
      </c>
    </row>
    <row r="66" spans="1:12" x14ac:dyDescent="0.25">
      <c r="A66" s="69"/>
      <c r="I66" s="80"/>
      <c r="J66" s="80"/>
      <c r="K66" s="80"/>
      <c r="L66" s="80"/>
    </row>
    <row r="67" spans="1:12" x14ac:dyDescent="0.25">
      <c r="A67" s="69"/>
      <c r="I67" s="80"/>
      <c r="J67" s="80"/>
      <c r="K67" s="80"/>
      <c r="L67" s="80"/>
    </row>
    <row r="68" spans="1:12" x14ac:dyDescent="0.25">
      <c r="A68" s="69"/>
    </row>
  </sheetData>
  <mergeCells count="5">
    <mergeCell ref="A7:G7"/>
    <mergeCell ref="A44:G44"/>
    <mergeCell ref="A1:L1"/>
    <mergeCell ref="A2:L2"/>
    <mergeCell ref="A3:K3"/>
  </mergeCells>
  <pageMargins left="0.35433070866141736" right="0.19685039370078741" top="0.15748031496062992" bottom="0.31496062992125984" header="0.15748031496062992" footer="0.31496062992125984"/>
  <pageSetup paperSize="9" scale="116" orientation="portrait" verticalDpi="300" r:id="rId1"/>
  <headerFooter alignWithMargins="0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2024-2025 рік</vt:lpstr>
      <vt:lpstr>2024-2025 рік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Reanimator Me User</dc:creator>
  <cp:lastModifiedBy>User</cp:lastModifiedBy>
  <cp:lastPrinted>2024-12-03T07:07:38Z</cp:lastPrinted>
  <dcterms:created xsi:type="dcterms:W3CDTF">2008-01-25T10:17:29Z</dcterms:created>
  <dcterms:modified xsi:type="dcterms:W3CDTF">2024-12-03T07:58:47Z</dcterms:modified>
</cp:coreProperties>
</file>