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'!$E$1:$Q$193</definedName>
    <definedName name="_xlnm.Print_Titles" localSheetId="0">'дод 3 '!$7:$11</definedName>
    <definedName name="_xlnm.Print_Area" localSheetId="0">'дод 3 '!$A$1:$Q$191</definedName>
  </definedNames>
  <calcPr calcId="125725"/>
</workbook>
</file>

<file path=xl/calcChain.xml><?xml version="1.0" encoding="utf-8"?>
<calcChain xmlns="http://schemas.openxmlformats.org/spreadsheetml/2006/main">
  <c r="G120" i="5"/>
  <c r="L16" l="1"/>
  <c r="L167"/>
  <c r="L31"/>
  <c r="G172"/>
  <c r="G173"/>
  <c r="H14"/>
  <c r="G14"/>
  <c r="L14"/>
  <c r="H70"/>
  <c r="G70"/>
  <c r="G72" l="1"/>
  <c r="I48"/>
  <c r="G48"/>
  <c r="G103"/>
  <c r="L103"/>
  <c r="G16"/>
  <c r="G28"/>
  <c r="H108"/>
  <c r="G108"/>
  <c r="G187"/>
  <c r="F183"/>
  <c r="G60"/>
  <c r="L60"/>
  <c r="G59"/>
  <c r="L59"/>
  <c r="J151"/>
  <c r="G161"/>
  <c r="L152"/>
  <c r="G152"/>
  <c r="G132"/>
  <c r="L133" l="1"/>
  <c r="G133"/>
  <c r="L164"/>
  <c r="Q156"/>
  <c r="Q157"/>
  <c r="Q158"/>
  <c r="Q159"/>
  <c r="Q160"/>
  <c r="P160"/>
  <c r="K160" s="1"/>
  <c r="K156"/>
  <c r="K157"/>
  <c r="K158"/>
  <c r="K159"/>
  <c r="F156"/>
  <c r="F157"/>
  <c r="F158"/>
  <c r="F159"/>
  <c r="F160"/>
  <c r="L125"/>
  <c r="G125"/>
  <c r="I120"/>
  <c r="I119"/>
  <c r="G126"/>
  <c r="G119"/>
  <c r="I118"/>
  <c r="G118"/>
  <c r="G46"/>
  <c r="L48"/>
  <c r="L72"/>
  <c r="G52"/>
  <c r="I46"/>
  <c r="L143"/>
  <c r="L32"/>
  <c r="L187"/>
  <c r="G136"/>
  <c r="G18"/>
  <c r="J35"/>
  <c r="G22"/>
  <c r="J152"/>
  <c r="G131"/>
  <c r="G167"/>
  <c r="G121"/>
  <c r="G15"/>
  <c r="P166"/>
  <c r="G39"/>
  <c r="G134"/>
  <c r="H136"/>
  <c r="H133"/>
  <c r="H122"/>
  <c r="G122"/>
  <c r="H172"/>
  <c r="H180"/>
  <c r="G180"/>
  <c r="G110" l="1"/>
  <c r="H50"/>
  <c r="G50"/>
  <c r="L33"/>
  <c r="G33"/>
  <c r="L41"/>
  <c r="G41"/>
  <c r="G35"/>
  <c r="G142"/>
  <c r="J163"/>
  <c r="G130"/>
  <c r="I103" l="1"/>
  <c r="I14"/>
  <c r="L119"/>
  <c r="G25"/>
  <c r="G26"/>
  <c r="G181"/>
  <c r="G104"/>
  <c r="G174"/>
  <c r="P62"/>
  <c r="K62" s="1"/>
  <c r="Q109"/>
  <c r="P109"/>
  <c r="K109" s="1"/>
  <c r="F109"/>
  <c r="M71"/>
  <c r="P63"/>
  <c r="K63"/>
  <c r="F63"/>
  <c r="F62"/>
  <c r="H135"/>
  <c r="G135"/>
  <c r="G123"/>
  <c r="Q62" l="1"/>
  <c r="Q63"/>
  <c r="F35"/>
  <c r="K28"/>
  <c r="F28"/>
  <c r="Q28" s="1"/>
  <c r="F16"/>
  <c r="L176" l="1"/>
  <c r="G168"/>
  <c r="L51"/>
  <c r="L142"/>
  <c r="I51"/>
  <c r="G51"/>
  <c r="G155"/>
  <c r="G85"/>
  <c r="G78"/>
  <c r="P64"/>
  <c r="K64" s="1"/>
  <c r="F64"/>
  <c r="F65"/>
  <c r="G77"/>
  <c r="G113"/>
  <c r="K153"/>
  <c r="F153"/>
  <c r="Q153" s="1"/>
  <c r="G154"/>
  <c r="Q64" l="1"/>
  <c r="G19"/>
  <c r="J187"/>
  <c r="G36"/>
  <c r="P187" l="1"/>
  <c r="L118"/>
  <c r="P65"/>
  <c r="K65" s="1"/>
  <c r="Q65" s="1"/>
  <c r="L123"/>
  <c r="L17"/>
  <c r="P151" l="1"/>
  <c r="K151" s="1"/>
  <c r="F151"/>
  <c r="P152"/>
  <c r="G38"/>
  <c r="Q151" l="1"/>
  <c r="L38"/>
  <c r="K20"/>
  <c r="K21"/>
  <c r="K22"/>
  <c r="J150"/>
  <c r="G17"/>
  <c r="K112"/>
  <c r="K113"/>
  <c r="F112"/>
  <c r="F113"/>
  <c r="L131"/>
  <c r="P145"/>
  <c r="K145" s="1"/>
  <c r="P146"/>
  <c r="K146" s="1"/>
  <c r="P147"/>
  <c r="K147" s="1"/>
  <c r="P148"/>
  <c r="K148" s="1"/>
  <c r="F145"/>
  <c r="F146"/>
  <c r="F147"/>
  <c r="F148"/>
  <c r="G86"/>
  <c r="G30"/>
  <c r="P66"/>
  <c r="K66" s="1"/>
  <c r="F66"/>
  <c r="G107"/>
  <c r="H48"/>
  <c r="H116"/>
  <c r="G116"/>
  <c r="H44"/>
  <c r="G44"/>
  <c r="H129"/>
  <c r="G129"/>
  <c r="H77"/>
  <c r="H121"/>
  <c r="H120"/>
  <c r="H119"/>
  <c r="H118"/>
  <c r="G27"/>
  <c r="H104"/>
  <c r="H103"/>
  <c r="K29"/>
  <c r="F29"/>
  <c r="M169"/>
  <c r="P67"/>
  <c r="K67" s="1"/>
  <c r="K70"/>
  <c r="K71"/>
  <c r="K108"/>
  <c r="F108"/>
  <c r="F67"/>
  <c r="Q113" l="1"/>
  <c r="Q146"/>
  <c r="Q29"/>
  <c r="Q147"/>
  <c r="Q112"/>
  <c r="Q108"/>
  <c r="Q67"/>
  <c r="Q66"/>
  <c r="Q148"/>
  <c r="Q145"/>
  <c r="K69"/>
  <c r="F69"/>
  <c r="F59"/>
  <c r="F60"/>
  <c r="M58"/>
  <c r="N58"/>
  <c r="O58"/>
  <c r="L58"/>
  <c r="G58"/>
  <c r="H58"/>
  <c r="I58"/>
  <c r="J58"/>
  <c r="F58" l="1"/>
  <c r="Q69"/>
  <c r="K61"/>
  <c r="F61"/>
  <c r="N54"/>
  <c r="O54"/>
  <c r="P54"/>
  <c r="G54"/>
  <c r="H54"/>
  <c r="I54"/>
  <c r="J54"/>
  <c r="L54"/>
  <c r="M54"/>
  <c r="F70"/>
  <c r="Q70" s="1"/>
  <c r="F71"/>
  <c r="Q71" s="1"/>
  <c r="K37"/>
  <c r="M140"/>
  <c r="N140"/>
  <c r="O140"/>
  <c r="K126"/>
  <c r="G49"/>
  <c r="F49" s="1"/>
  <c r="H49"/>
  <c r="K49"/>
  <c r="F50"/>
  <c r="K50"/>
  <c r="F31"/>
  <c r="P31"/>
  <c r="K31" s="1"/>
  <c r="F32"/>
  <c r="P32"/>
  <c r="K32" s="1"/>
  <c r="F34"/>
  <c r="P34"/>
  <c r="K34" s="1"/>
  <c r="H76"/>
  <c r="I76"/>
  <c r="L182"/>
  <c r="G175"/>
  <c r="G162"/>
  <c r="G138"/>
  <c r="G111"/>
  <c r="L35"/>
  <c r="G53"/>
  <c r="G24"/>
  <c r="L15"/>
  <c r="F126"/>
  <c r="G106"/>
  <c r="F20"/>
  <c r="Q20" s="1"/>
  <c r="F21"/>
  <c r="Q21" s="1"/>
  <c r="F22"/>
  <c r="Q22" s="1"/>
  <c r="G76"/>
  <c r="F37"/>
  <c r="Q61" l="1"/>
  <c r="Q37"/>
  <c r="Q126"/>
  <c r="Q50"/>
  <c r="Q49"/>
  <c r="Q32"/>
  <c r="Q31"/>
  <c r="Q34"/>
  <c r="G117"/>
  <c r="G45"/>
  <c r="P142" l="1"/>
  <c r="H179"/>
  <c r="I179"/>
  <c r="J179"/>
  <c r="F180"/>
  <c r="G186"/>
  <c r="F186" s="1"/>
  <c r="F161"/>
  <c r="I152"/>
  <c r="I140" s="1"/>
  <c r="L180"/>
  <c r="P143"/>
  <c r="K143" s="1"/>
  <c r="L121"/>
  <c r="L77"/>
  <c r="P77" s="1"/>
  <c r="L73"/>
  <c r="L68"/>
  <c r="L47"/>
  <c r="L161"/>
  <c r="P144"/>
  <c r="F143"/>
  <c r="F48"/>
  <c r="G115"/>
  <c r="F14"/>
  <c r="F15"/>
  <c r="F17"/>
  <c r="F18"/>
  <c r="F19"/>
  <c r="F23"/>
  <c r="F24"/>
  <c r="F25"/>
  <c r="F26"/>
  <c r="F27"/>
  <c r="F30"/>
  <c r="F33"/>
  <c r="F36"/>
  <c r="F38"/>
  <c r="F39"/>
  <c r="F40"/>
  <c r="F41"/>
  <c r="F44"/>
  <c r="F45"/>
  <c r="F46"/>
  <c r="F51"/>
  <c r="F52"/>
  <c r="F53"/>
  <c r="F55"/>
  <c r="F56"/>
  <c r="F57"/>
  <c r="F68"/>
  <c r="F72"/>
  <c r="F73"/>
  <c r="F74"/>
  <c r="F77"/>
  <c r="F78"/>
  <c r="F79"/>
  <c r="F80"/>
  <c r="F81"/>
  <c r="F82"/>
  <c r="F83"/>
  <c r="F84"/>
  <c r="F85"/>
  <c r="F86"/>
  <c r="F88"/>
  <c r="F89"/>
  <c r="F90"/>
  <c r="F91"/>
  <c r="F92"/>
  <c r="F93"/>
  <c r="F94"/>
  <c r="F95"/>
  <c r="F96"/>
  <c r="F97"/>
  <c r="F98"/>
  <c r="F99"/>
  <c r="F100"/>
  <c r="F101"/>
  <c r="F102"/>
  <c r="F103"/>
  <c r="F104"/>
  <c r="F105"/>
  <c r="F106"/>
  <c r="F107"/>
  <c r="F110"/>
  <c r="F111"/>
  <c r="F116"/>
  <c r="F117"/>
  <c r="F118"/>
  <c r="F120"/>
  <c r="F121"/>
  <c r="F122"/>
  <c r="F123"/>
  <c r="F124"/>
  <c r="F125"/>
  <c r="F129"/>
  <c r="F130"/>
  <c r="F131"/>
  <c r="F132"/>
  <c r="F133"/>
  <c r="F134"/>
  <c r="F135"/>
  <c r="F136"/>
  <c r="F137"/>
  <c r="F138"/>
  <c r="F141"/>
  <c r="F142"/>
  <c r="F144"/>
  <c r="F149"/>
  <c r="F150"/>
  <c r="F152"/>
  <c r="F154"/>
  <c r="F155"/>
  <c r="F162"/>
  <c r="F163"/>
  <c r="F164"/>
  <c r="F165"/>
  <c r="F166"/>
  <c r="F167"/>
  <c r="F168"/>
  <c r="F169"/>
  <c r="F172"/>
  <c r="F173"/>
  <c r="F174"/>
  <c r="F175"/>
  <c r="F176"/>
  <c r="F177"/>
  <c r="F181"/>
  <c r="F182"/>
  <c r="F184"/>
  <c r="F185"/>
  <c r="F187"/>
  <c r="H171"/>
  <c r="I171"/>
  <c r="J171"/>
  <c r="H140"/>
  <c r="H128"/>
  <c r="I128"/>
  <c r="J128"/>
  <c r="H115"/>
  <c r="I115"/>
  <c r="J115"/>
  <c r="H13"/>
  <c r="I13"/>
  <c r="G13"/>
  <c r="M47"/>
  <c r="N47"/>
  <c r="O47"/>
  <c r="K25"/>
  <c r="F54" l="1"/>
  <c r="L140"/>
  <c r="F119"/>
  <c r="G179"/>
  <c r="F179"/>
  <c r="F178" s="1"/>
  <c r="Q143"/>
  <c r="K110"/>
  <c r="G47" l="1"/>
  <c r="G43" s="1"/>
  <c r="H47"/>
  <c r="H43" s="1"/>
  <c r="I47"/>
  <c r="I43" s="1"/>
  <c r="L172" l="1"/>
  <c r="L120" l="1"/>
  <c r="P163"/>
  <c r="K165" l="1"/>
  <c r="K166"/>
  <c r="K135"/>
  <c r="P150"/>
  <c r="P39"/>
  <c r="Q166" l="1"/>
  <c r="Q135"/>
  <c r="L179" l="1"/>
  <c r="M179"/>
  <c r="N179"/>
  <c r="O179"/>
  <c r="K187"/>
  <c r="Q186"/>
  <c r="Q187" l="1"/>
  <c r="H178"/>
  <c r="P134"/>
  <c r="P133"/>
  <c r="P120"/>
  <c r="K120" s="1"/>
  <c r="P68"/>
  <c r="I178"/>
  <c r="J178"/>
  <c r="F115" l="1"/>
  <c r="G140" l="1"/>
  <c r="P41"/>
  <c r="K41" s="1"/>
  <c r="P23"/>
  <c r="K23" s="1"/>
  <c r="Q23" s="1"/>
  <c r="K168"/>
  <c r="J13" l="1"/>
  <c r="F13" s="1"/>
  <c r="Q168"/>
  <c r="Q41"/>
  <c r="Q25" l="1"/>
  <c r="M13"/>
  <c r="N13"/>
  <c r="O13"/>
  <c r="P52"/>
  <c r="P51" l="1"/>
  <c r="L13"/>
  <c r="J47"/>
  <c r="D13"/>
  <c r="P130"/>
  <c r="K130" s="1"/>
  <c r="P137"/>
  <c r="K137" s="1"/>
  <c r="Q137" s="1"/>
  <c r="P138"/>
  <c r="P129"/>
  <c r="F47" l="1"/>
  <c r="P15"/>
  <c r="P104"/>
  <c r="P103"/>
  <c r="P57"/>
  <c r="P59"/>
  <c r="P60"/>
  <c r="K60" s="1"/>
  <c r="Q60" s="1"/>
  <c r="P132"/>
  <c r="P162"/>
  <c r="K59" l="1"/>
  <c r="K39"/>
  <c r="K184"/>
  <c r="K185"/>
  <c r="Q59" l="1"/>
  <c r="Q185"/>
  <c r="L128"/>
  <c r="K44"/>
  <c r="K45"/>
  <c r="K51"/>
  <c r="K53"/>
  <c r="K55"/>
  <c r="K56"/>
  <c r="K57"/>
  <c r="K68"/>
  <c r="Q68" s="1"/>
  <c r="P27"/>
  <c r="K54" l="1"/>
  <c r="P131"/>
  <c r="P73" l="1"/>
  <c r="K73" s="1"/>
  <c r="K77"/>
  <c r="P161"/>
  <c r="K124"/>
  <c r="P118"/>
  <c r="P121"/>
  <c r="P119"/>
  <c r="P136"/>
  <c r="P180"/>
  <c r="P14"/>
  <c r="P46" l="1"/>
  <c r="P155"/>
  <c r="P48"/>
  <c r="Q57"/>
  <c r="Q56"/>
  <c r="Q52"/>
  <c r="Q53"/>
  <c r="K15"/>
  <c r="P175"/>
  <c r="P176"/>
  <c r="P164"/>
  <c r="P125"/>
  <c r="P123"/>
  <c r="P111"/>
  <c r="P72"/>
  <c r="Q39"/>
  <c r="P35"/>
  <c r="P33"/>
  <c r="P17"/>
  <c r="P16"/>
  <c r="K48" l="1"/>
  <c r="K47" s="1"/>
  <c r="P47"/>
  <c r="Q54"/>
  <c r="Q55"/>
  <c r="K46"/>
  <c r="K72"/>
  <c r="Q15"/>
  <c r="P182"/>
  <c r="P179" s="1"/>
  <c r="Q48" l="1"/>
  <c r="K16"/>
  <c r="K138"/>
  <c r="K163"/>
  <c r="Q184"/>
  <c r="K183"/>
  <c r="Q183" s="1"/>
  <c r="K182"/>
  <c r="K181"/>
  <c r="G178"/>
  <c r="L178"/>
  <c r="K180"/>
  <c r="P178"/>
  <c r="M178"/>
  <c r="D179"/>
  <c r="O178"/>
  <c r="N178"/>
  <c r="P177"/>
  <c r="K177" s="1"/>
  <c r="K175"/>
  <c r="K176"/>
  <c r="K174"/>
  <c r="K173"/>
  <c r="P172"/>
  <c r="K172" s="1"/>
  <c r="I170"/>
  <c r="O171"/>
  <c r="O170" s="1"/>
  <c r="N171"/>
  <c r="N170" s="1"/>
  <c r="M171"/>
  <c r="M170" s="1"/>
  <c r="J170"/>
  <c r="H170"/>
  <c r="D171"/>
  <c r="K169"/>
  <c r="P167"/>
  <c r="K167" s="1"/>
  <c r="Q165"/>
  <c r="K164"/>
  <c r="K162"/>
  <c r="P159"/>
  <c r="P158"/>
  <c r="P157"/>
  <c r="P156"/>
  <c r="K155"/>
  <c r="K154"/>
  <c r="K152"/>
  <c r="K150"/>
  <c r="K144"/>
  <c r="K142"/>
  <c r="K141"/>
  <c r="O139"/>
  <c r="N139"/>
  <c r="I139"/>
  <c r="H139"/>
  <c r="D140"/>
  <c r="K136"/>
  <c r="K134"/>
  <c r="Q134" s="1"/>
  <c r="K133"/>
  <c r="K132"/>
  <c r="Q130"/>
  <c r="K129"/>
  <c r="O128"/>
  <c r="O127" s="1"/>
  <c r="N128"/>
  <c r="N127" s="1"/>
  <c r="M128"/>
  <c r="M127" s="1"/>
  <c r="J127"/>
  <c r="I127"/>
  <c r="D128"/>
  <c r="K125"/>
  <c r="K122"/>
  <c r="K121"/>
  <c r="K119"/>
  <c r="K117"/>
  <c r="G114"/>
  <c r="P116"/>
  <c r="K116" s="1"/>
  <c r="O115"/>
  <c r="O114" s="1"/>
  <c r="N115"/>
  <c r="N114" s="1"/>
  <c r="M115"/>
  <c r="M114" s="1"/>
  <c r="L115"/>
  <c r="L114" s="1"/>
  <c r="J114"/>
  <c r="I114"/>
  <c r="D115"/>
  <c r="K111"/>
  <c r="Q110"/>
  <c r="K107"/>
  <c r="K106"/>
  <c r="K105"/>
  <c r="K103"/>
  <c r="K102"/>
  <c r="K101"/>
  <c r="K100"/>
  <c r="K99"/>
  <c r="K98"/>
  <c r="K97"/>
  <c r="K96"/>
  <c r="Q95"/>
  <c r="K94"/>
  <c r="K93"/>
  <c r="K92"/>
  <c r="K91"/>
  <c r="K90"/>
  <c r="K89"/>
  <c r="K88"/>
  <c r="P87"/>
  <c r="P76" s="1"/>
  <c r="O87"/>
  <c r="O76" s="1"/>
  <c r="N87"/>
  <c r="N76" s="1"/>
  <c r="M87"/>
  <c r="M76" s="1"/>
  <c r="L87"/>
  <c r="L76" s="1"/>
  <c r="J87"/>
  <c r="J76" s="1"/>
  <c r="F76" s="1"/>
  <c r="K86"/>
  <c r="K85"/>
  <c r="K84"/>
  <c r="K83"/>
  <c r="K82"/>
  <c r="K81"/>
  <c r="K80"/>
  <c r="K79"/>
  <c r="K78"/>
  <c r="Q77"/>
  <c r="D76"/>
  <c r="K74"/>
  <c r="K118"/>
  <c r="Q118" s="1"/>
  <c r="K40"/>
  <c r="P38"/>
  <c r="K38" s="1"/>
  <c r="K36"/>
  <c r="K35"/>
  <c r="K33"/>
  <c r="L12"/>
  <c r="K30"/>
  <c r="K27"/>
  <c r="K26"/>
  <c r="K104"/>
  <c r="K24"/>
  <c r="K19"/>
  <c r="K18"/>
  <c r="K17"/>
  <c r="K14"/>
  <c r="H12"/>
  <c r="O12"/>
  <c r="N12"/>
  <c r="M12"/>
  <c r="J12"/>
  <c r="I12"/>
  <c r="F114" l="1"/>
  <c r="J140"/>
  <c r="F140" s="1"/>
  <c r="F87"/>
  <c r="K179"/>
  <c r="K178" s="1"/>
  <c r="Q178" s="1"/>
  <c r="Q167"/>
  <c r="Q133"/>
  <c r="P13"/>
  <c r="P12" s="1"/>
  <c r="K13"/>
  <c r="K12" s="1"/>
  <c r="Q173"/>
  <c r="Q174"/>
  <c r="Q162"/>
  <c r="Q90"/>
  <c r="Q98"/>
  <c r="Q91"/>
  <c r="Q26"/>
  <c r="Q40"/>
  <c r="Q27"/>
  <c r="Q99"/>
  <c r="Q107"/>
  <c r="Q102"/>
  <c r="Q24"/>
  <c r="Q79"/>
  <c r="Q81"/>
  <c r="Q83"/>
  <c r="Q85"/>
  <c r="Q19"/>
  <c r="Q104"/>
  <c r="Q78"/>
  <c r="Q80"/>
  <c r="Q84"/>
  <c r="Q86"/>
  <c r="K87"/>
  <c r="K76" s="1"/>
  <c r="Q116"/>
  <c r="Q142"/>
  <c r="Q169"/>
  <c r="Q46"/>
  <c r="Q44"/>
  <c r="Q180"/>
  <c r="Q141"/>
  <c r="Q111"/>
  <c r="Q51"/>
  <c r="Q94"/>
  <c r="Q82"/>
  <c r="Q105"/>
  <c r="Q164"/>
  <c r="Q182"/>
  <c r="Q125"/>
  <c r="Q17"/>
  <c r="Q47"/>
  <c r="Q73"/>
  <c r="Q74"/>
  <c r="Q88"/>
  <c r="Q93"/>
  <c r="Q97"/>
  <c r="Q100"/>
  <c r="Q122"/>
  <c r="Q176"/>
  <c r="H114"/>
  <c r="Q154"/>
  <c r="Q175"/>
  <c r="Q18"/>
  <c r="Q36"/>
  <c r="Q45"/>
  <c r="Q72"/>
  <c r="Q89"/>
  <c r="Q92"/>
  <c r="Q96"/>
  <c r="Q101"/>
  <c r="Q103"/>
  <c r="Q119"/>
  <c r="Q132"/>
  <c r="Q144"/>
  <c r="G171"/>
  <c r="L171"/>
  <c r="L170" s="1"/>
  <c r="P171"/>
  <c r="P170" s="1"/>
  <c r="K161"/>
  <c r="L127"/>
  <c r="Q30"/>
  <c r="Q33"/>
  <c r="Q106"/>
  <c r="H127"/>
  <c r="M139"/>
  <c r="Q150"/>
  <c r="Q14"/>
  <c r="Q120"/>
  <c r="Q16"/>
  <c r="Q138"/>
  <c r="P128"/>
  <c r="P127" s="1"/>
  <c r="G139"/>
  <c r="G12"/>
  <c r="Q152"/>
  <c r="Q38"/>
  <c r="Q121"/>
  <c r="Q124"/>
  <c r="Q155"/>
  <c r="Q177"/>
  <c r="P115"/>
  <c r="P114" s="1"/>
  <c r="K123"/>
  <c r="Q129"/>
  <c r="Q172"/>
  <c r="Q35"/>
  <c r="Q136"/>
  <c r="Q163"/>
  <c r="K171"/>
  <c r="K170" s="1"/>
  <c r="G128"/>
  <c r="K131"/>
  <c r="K128" s="1"/>
  <c r="K127" s="1"/>
  <c r="J139" l="1"/>
  <c r="F139" s="1"/>
  <c r="G170"/>
  <c r="F170" s="1"/>
  <c r="Q170" s="1"/>
  <c r="F171"/>
  <c r="Q171" s="1"/>
  <c r="G127"/>
  <c r="F127" s="1"/>
  <c r="F128"/>
  <c r="Q128" s="1"/>
  <c r="K115"/>
  <c r="K114" s="1"/>
  <c r="Q87"/>
  <c r="Q123"/>
  <c r="Q117"/>
  <c r="Q161"/>
  <c r="Q181"/>
  <c r="Q131"/>
  <c r="Q115" l="1"/>
  <c r="Q114" s="1"/>
  <c r="Q127"/>
  <c r="Q179"/>
  <c r="Q13"/>
  <c r="F12"/>
  <c r="F188" s="1"/>
  <c r="Q12" l="1"/>
  <c r="L139"/>
  <c r="P149"/>
  <c r="P140" l="1"/>
  <c r="P139" s="1"/>
  <c r="K149"/>
  <c r="K140" s="1"/>
  <c r="Q149" l="1"/>
  <c r="Q140" l="1"/>
  <c r="K139"/>
  <c r="Q139" s="1"/>
  <c r="K75"/>
  <c r="H75"/>
  <c r="L75"/>
  <c r="M75"/>
  <c r="J75"/>
  <c r="G75"/>
  <c r="O75"/>
  <c r="N75"/>
  <c r="P75"/>
  <c r="Q76"/>
  <c r="I75"/>
  <c r="F75" l="1"/>
  <c r="Q75" l="1"/>
  <c r="M43"/>
  <c r="M42" s="1"/>
  <c r="M188" s="1"/>
  <c r="O43"/>
  <c r="O42" s="1"/>
  <c r="O188" s="1"/>
  <c r="L43"/>
  <c r="L42" s="1"/>
  <c r="L188" s="1"/>
  <c r="N43"/>
  <c r="N42" s="1"/>
  <c r="N188" s="1"/>
  <c r="P58"/>
  <c r="P43" l="1"/>
  <c r="P42" s="1"/>
  <c r="P188" s="1"/>
  <c r="K188" s="1"/>
  <c r="K58"/>
  <c r="Q58" l="1"/>
  <c r="K43"/>
  <c r="K42" s="1"/>
  <c r="J43"/>
  <c r="J42" s="1"/>
  <c r="J188" s="1"/>
  <c r="I42" l="1"/>
  <c r="I188" s="1"/>
  <c r="H42" l="1"/>
  <c r="H188" s="1"/>
  <c r="F43" l="1"/>
  <c r="Q43" s="1"/>
  <c r="G42"/>
  <c r="G188" l="1"/>
  <c r="F42"/>
  <c r="Q188" l="1"/>
  <c r="Q42"/>
</calcChain>
</file>

<file path=xl/sharedStrings.xml><?xml version="1.0" encoding="utf-8"?>
<sst xmlns="http://schemas.openxmlformats.org/spreadsheetml/2006/main" count="746" uniqueCount="528">
  <si>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</si>
  <si>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</si>
  <si>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</si>
  <si>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</si>
  <si>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</si>
  <si>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</si>
  <si>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</si>
  <si>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</si>
  <si>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</si>
  <si>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</si>
  <si>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</si>
  <si>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</si>
  <si>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</si>
  <si>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</si>
  <si>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</si>
  <si>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</si>
  <si>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</si>
  <si>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</si>
  <si>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</si>
  <si>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</si>
  <si>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</si>
  <si>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</si>
  <si>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</si>
  <si>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</si>
  <si>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</si>
  <si>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</si>
  <si>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</si>
  <si>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</si>
  <si>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</si>
  <si>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</si>
  <si>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</si>
  <si>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</si>
  <si>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</si>
  <si>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</si>
  <si>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</si>
  <si>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</si>
  <si>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</si>
  <si>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</si>
  <si>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</si>
  <si>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</si>
  <si>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</si>
  <si>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</si>
  <si>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</si>
  <si>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</si>
  <si>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</si>
  <si>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</si>
  <si>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</si>
  <si>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</si>
  <si>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</si>
  <si>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</si>
  <si>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</si>
  <si>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</si>
  <si>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</si>
  <si>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</si>
  <si>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</si>
  <si>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</si>
  <si>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</si>
  <si>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</si>
  <si>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</si>
  <si>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</si>
  <si>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</si>
  <si>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</si>
  <si>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</si>
  <si>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</si>
  <si>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</si>
  <si>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</si>
  <si>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</si>
  <si>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</si>
  <si>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</si>
  <si>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</si>
  <si>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</si>
  <si>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</si>
  <si>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</si>
  <si>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</si>
  <si>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</si>
  <si>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</si>
  <si>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</si>
  <si>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</si>
  <si>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</si>
  <si>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</si>
  <si>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</si>
  <si>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</si>
  <si>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</si>
  <si>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</si>
  <si>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</si>
  <si>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</si>
  <si>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</si>
  <si>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</si>
  <si>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</si>
  <si>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</si>
  <si>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</si>
  <si>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</si>
  <si>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</si>
  <si>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</si>
  <si>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</si>
  <si>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</si>
  <si>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</si>
  <si>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</si>
  <si>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</si>
  <si>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</si>
  <si>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</si>
  <si>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</si>
  <si>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</si>
  <si>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</si>
  <si>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</si>
  <si>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</si>
  <si>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</si>
  <si>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</si>
  <si>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</si>
  <si>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</si>
  <si>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</si>
  <si>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</si>
  <si>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</si>
  <si>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</si>
  <si>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</si>
  <si>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</si>
  <si>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</si>
  <si>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</si>
  <si>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</si>
  <si>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</si>
  <si>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</si>
  <si>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</si>
  <si>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</si>
  <si>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</si>
  <si>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</si>
  <si>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</si>
  <si>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</si>
  <si>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</si>
  <si>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</si>
  <si>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</si>
  <si>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</si>
  <si>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</si>
  <si>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</si>
  <si>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</si>
  <si>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</si>
  <si>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</si>
  <si>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</si>
  <si>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</si>
  <si>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</si>
  <si>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</si>
  <si>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</si>
  <si>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</si>
  <si>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</si>
  <si>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</si>
  <si>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</si>
  <si>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</si>
  <si>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</si>
  <si>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</si>
  <si>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</si>
  <si>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</si>
  <si>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</si>
  <si>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</si>
  <si>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</si>
  <si>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</si>
  <si>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</si>
  <si>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</si>
  <si>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</si>
  <si>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</si>
  <si>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</si>
  <si>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</si>
  <si>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</si>
  <si>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</si>
  <si>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</si>
  <si>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</si>
  <si>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</si>
  <si>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</si>
  <si>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</si>
  <si>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</si>
  <si>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</si>
  <si>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</si>
  <si>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</si>
  <si>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</si>
  <si>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</si>
  <si>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</si>
  <si>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</si>
  <si>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</si>
  <si>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</si>
  <si>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</si>
  <si>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</si>
  <si>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</si>
  <si>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</si>
  <si>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</si>
  <si>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</si>
  <si>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</si>
  <si>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</si>
  <si>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</si>
  <si>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</si>
  <si>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</si>
  <si>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</si>
  <si>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</si>
  <si>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</si>
  <si>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</si>
  <si>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</si>
  <si>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</si>
  <si>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</si>
  <si>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</si>
  <si>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</si>
  <si>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</si>
  <si>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</si>
  <si>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</si>
  <si>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</si>
  <si>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</si>
  <si>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</si>
  <si>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</si>
  <si>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</si>
  <si>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</si>
  <si>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</si>
  <si>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</si>
  <si>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</si>
  <si>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</si>
  <si>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</si>
  <si>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</si>
  <si>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</si>
  <si>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</si>
  <si>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</si>
  <si>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</si>
  <si>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</si>
  <si>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</si>
  <si>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</si>
  <si>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</si>
  <si>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</si>
  <si>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</si>
  <si>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</si>
  <si>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</si>
  <si>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</si>
  <si>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</si>
  <si>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</si>
  <si>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</si>
  <si>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</si>
  <si>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</si>
  <si>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</si>
  <si>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</si>
  <si>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</si>
  <si>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</si>
  <si>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</si>
  <si>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</si>
  <si>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</si>
  <si>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</si>
  <si>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</si>
  <si>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</si>
  <si>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</si>
  <si>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</si>
  <si>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</si>
  <si>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</si>
  <si>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</si>
  <si>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</si>
  <si>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</si>
  <si>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</si>
  <si>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</si>
  <si>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</si>
  <si>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</si>
  <si>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</si>
  <si>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</si>
  <si>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</si>
  <si>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</si>
  <si>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</si>
  <si>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</si>
  <si>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</si>
  <si>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</si>
  <si>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</si>
  <si>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</si>
  <si>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</si>
  <si>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</si>
  <si>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</si>
  <si>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</si>
  <si>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</si>
  <si>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</si>
  <si>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</si>
  <si>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</si>
  <si>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</si>
  <si>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</si>
  <si>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</si>
  <si>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</si>
  <si>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</si>
  <si>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</si>
  <si>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</si>
  <si>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</si>
  <si>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</si>
  <si>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</si>
  <si>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</si>
  <si>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</si>
  <si>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</si>
  <si>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</si>
  <si>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</si>
  <si>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</si>
  <si>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</si>
  <si>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</si>
  <si>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</si>
  <si>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</si>
  <si>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</si>
  <si>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</si>
  <si>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</si>
  <si>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</si>
  <si>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</si>
  <si>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</si>
  <si>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</si>
  <si>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</si>
  <si>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</si>
  <si>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</si>
  <si>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</si>
  <si>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</si>
  <si>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</si>
  <si>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</si>
  <si>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</si>
  <si>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</si>
  <si>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</si>
  <si>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</si>
  <si>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</si>
  <si>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</si>
  <si>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</si>
  <si>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</si>
  <si>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</si>
  <si>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</si>
  <si>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</si>
  <si>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</si>
  <si>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</si>
  <si>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</si>
  <si>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</si>
  <si>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</si>
  <si>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</si>
  <si>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</si>
  <si>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</si>
  <si>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</si>
  <si>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</si>
  <si>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</si>
  <si>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</si>
  <si>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</si>
  <si>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</si>
  <si>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</si>
  <si>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</si>
  <si>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</si>
  <si>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</si>
  <si>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</si>
  <si>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</si>
  <si>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</si>
  <si>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</si>
  <si>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</si>
  <si>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</si>
  <si>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</si>
  <si>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</si>
  <si>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</si>
  <si>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</si>
  <si>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</si>
  <si>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</si>
  <si>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</si>
  <si>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</si>
  <si>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</si>
  <si>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</si>
  <si>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</si>
  <si>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</si>
  <si>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</si>
  <si>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</si>
  <si>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</si>
  <si>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</si>
  <si>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</si>
  <si>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</si>
  <si>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</si>
  <si>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</si>
  <si>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</si>
  <si>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</si>
  <si>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</si>
  <si>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</si>
  <si>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</si>
  <si>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</si>
  <si>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</si>
  <si>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</si>
  <si>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</si>
  <si>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</si>
  <si>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</si>
  <si>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</si>
  <si>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</si>
  <si>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</si>
  <si>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</si>
  <si>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</si>
  <si>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</si>
  <si>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</si>
  <si>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</si>
  <si>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</si>
  <si>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</si>
  <si>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</si>
  <si>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</si>
  <si>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</si>
  <si>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</si>
  <si>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</si>
  <si>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</si>
  <si>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</si>
  <si>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</si>
  <si>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</si>
  <si>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</si>
  <si>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</si>
  <si>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</si>
  <si>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</si>
  <si>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</si>
  <si>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</si>
  <si>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</si>
  <si>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</si>
  <si>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</si>
  <si>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</si>
  <si>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</si>
  <si>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</si>
  <si>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</si>
  <si>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</si>
  <si>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</si>
  <si>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</si>
  <si>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</si>
  <si>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</si>
  <si>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</si>
  <si>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</si>
  <si>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</si>
  <si>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</si>
  <si>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</si>
  <si>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</si>
  <si>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</si>
  <si>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</si>
  <si>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</si>
  <si>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</si>
  <si>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</si>
  <si>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</si>
  <si>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</si>
  <si>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</si>
  <si>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</si>
  <si>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</si>
  <si>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</si>
  <si>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</si>
  <si>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</si>
  <si>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</si>
  <si>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</si>
  <si>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</si>
  <si>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</si>
  <si>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</si>
  <si>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</si>
  <si>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</si>
  <si>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</si>
  <si>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</si>
  <si>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</si>
  <si>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</si>
  <si>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</si>
  <si>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</si>
  <si>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</si>
  <si>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</si>
  <si>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</si>
  <si>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</si>
  <si>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</si>
  <si>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</si>
  <si>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освітніх установ та закладів</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</si>
  <si>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</si>
  <si>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</si>
  <si>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</si>
  <si>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</si>
  <si>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</si>
  <si>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</si>
  <si>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</si>
  <si>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</si>
  <si>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</si>
  <si>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</si>
  <si>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</si>
  <si>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</si>
  <si>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</si>
  <si>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</si>
  <si>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</si>
  <si>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</si>
  <si>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</si>
  <si>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</si>
  <si>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</si>
  <si>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</si>
  <si>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</si>
  <si>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</si>
  <si>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</si>
  <si>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</si>
  <si>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</si>
  <si>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</si>
  <si>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</si>
  <si>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</si>
  <si>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</si>
  <si>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</si>
  <si>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</si>
  <si>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</si>
  <si>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</si>
  <si>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</si>
  <si>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</si>
  <si>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</si>
  <si>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</si>
  <si>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</si>
  <si>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</si>
  <si>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</si>
  <si>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</si>
  <si>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</si>
  <si>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</si>
  <si>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</si>
  <si>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</si>
  <si>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</si>
  <si>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</si>
  <si>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</si>
  <si>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</si>
  <si>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</si>
  <si>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</si>
  <si>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</si>
  <si>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</si>
  <si>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</si>
  <si>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</si>
  <si>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</si>
  <si>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</si>
  <si>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</si>
  <si>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</si>
  <si>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</si>
  <si>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</si>
  <si>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</si>
  <si>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</si>
  <si>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</si>
  <si>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</si>
  <si>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</si>
  <si>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</si>
  <si>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r>
      <rPr>
        <sz val="20"/>
        <rFont val="Times New Roman"/>
        <family val="1"/>
        <charset val="204"/>
      </rPr>
      <t>Будівництво</t>
    </r>
    <r>
      <rPr>
        <sz val="22"/>
        <rFont val="Times New Roman"/>
        <family val="1"/>
        <charset val="204"/>
      </rPr>
      <t>1 установ та закладів соціальної сфери</t>
    </r>
    <r>
      <rPr>
        <sz val="20"/>
        <rFont val="Times New Roman"/>
        <family val="1"/>
        <charset val="204"/>
      </rPr>
      <t xml:space="preserve"> </t>
    </r>
  </si>
  <si>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</si>
  <si>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</si>
  <si>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</si>
  <si>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</si>
  <si>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</si>
  <si>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</si>
  <si>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</si>
  <si>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</si>
  <si>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</si>
  <si>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</si>
  <si>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</si>
  <si>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1217367</t>
  </si>
  <si>
    <t>7367</t>
  </si>
  <si>
    <t>Реалізація проектів у рамках Програми відновлення України ІІІ</t>
  </si>
  <si>
    <t xml:space="preserve">                               від 14 серпня 2025 року № 7-49/2025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</si>
</sst>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5">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1">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1" fontId="18" fillId="2" borderId="1" xfId="0" applyNumberFormat="1"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right" vertical="center" wrapText="1"/>
    </xf>
    <xf numFmtId="0" fontId="18" fillId="2" borderId="1" xfId="0" applyFont="1" applyFill="1" applyBorder="1" applyAlignment="1" applyProtection="1">
      <alignment vertical="center" wrapText="1"/>
      <protection locked="0"/>
    </xf>
    <xf numFmtId="0" fontId="18" fillId="2" borderId="1" xfId="0"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pplyProtection="1">
      <alignment vertical="center" wrapText="1"/>
      <protection locked="0"/>
    </xf>
    <xf numFmtId="4" fontId="18"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166"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8" fillId="2"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lignment horizontal="center" vertical="center" wrapText="1"/>
    </xf>
    <xf numFmtId="49" fontId="19" fillId="0" borderId="3"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vertical="center" wrapText="1"/>
      <protection locked="0"/>
    </xf>
    <xf numFmtId="49" fontId="23" fillId="0"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166" fontId="18"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horizontal="right" vertical="center" wrapText="1"/>
      <protection locked="0"/>
    </xf>
    <xf numFmtId="4" fontId="18" fillId="0" borderId="1" xfId="1" applyNumberFormat="1" applyFont="1" applyFill="1" applyBorder="1" applyAlignment="1" applyProtection="1">
      <alignment horizontal="right" vertical="center" wrapText="1"/>
      <protection locked="0"/>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vertical="center" wrapText="1"/>
      <protection locked="0"/>
    </xf>
    <xf numFmtId="4" fontId="18" fillId="3" borderId="1" xfId="0" applyNumberFormat="1" applyFont="1" applyFill="1" applyBorder="1" applyAlignment="1" applyProtection="1">
      <alignment horizontal="right" vertical="center" wrapText="1"/>
    </xf>
    <xf numFmtId="4" fontId="18" fillId="0" borderId="1" xfId="2" applyNumberFormat="1" applyFont="1" applyFill="1" applyBorder="1" applyAlignment="1" applyProtection="1">
      <alignment horizontal="right" vertical="center" wrapText="1"/>
      <protection locked="0"/>
    </xf>
    <xf numFmtId="4" fontId="18" fillId="0" borderId="1" xfId="2" applyNumberFormat="1" applyFont="1" applyFill="1" applyBorder="1" applyAlignment="1" applyProtection="1">
      <alignment horizontal="right" vertical="center" wrapText="1"/>
    </xf>
    <xf numFmtId="4" fontId="18"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6" fillId="0" borderId="0" xfId="0" applyFont="1" applyFill="1" applyAlignment="1" applyProtection="1">
      <alignment vertical="center" wrapText="1"/>
      <protection locked="0"/>
    </xf>
    <xf numFmtId="0" fontId="26" fillId="0" borderId="0" xfId="0" applyFont="1" applyFill="1" applyAlignment="1" applyProtection="1">
      <alignment horizontal="left" vertical="center" wrapText="1"/>
      <protection locked="0"/>
    </xf>
    <xf numFmtId="4" fontId="18" fillId="5" borderId="1" xfId="0" applyNumberFormat="1" applyFont="1" applyFill="1" applyBorder="1" applyAlignment="1" applyProtection="1">
      <alignment horizontal="right" vertical="center" wrapText="1"/>
    </xf>
    <xf numFmtId="4" fontId="18"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7" fillId="0" borderId="0" xfId="0" applyFont="1" applyFill="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8" fillId="0" borderId="0" xfId="0" applyNumberFormat="1" applyFont="1" applyFill="1" applyAlignment="1" applyProtection="1">
      <alignmen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6" fillId="0" borderId="0" xfId="0" applyFont="1" applyFill="1" applyAlignment="1" applyProtection="1">
      <alignment horizontal="center" vertical="center" wrapText="1"/>
      <protection locked="0"/>
    </xf>
    <xf numFmtId="4" fontId="26"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4" fillId="0" borderId="1" xfId="0" applyFont="1" applyFill="1" applyBorder="1" applyAlignment="1">
      <alignment wrapText="1"/>
    </xf>
    <xf numFmtId="0" fontId="15" fillId="0" borderId="1" xfId="0" applyFont="1" applyFill="1" applyBorder="1" applyAlignment="1">
      <alignment vertical="center" wrapText="1"/>
    </xf>
    <xf numFmtId="0" fontId="14" fillId="0" borderId="0" xfId="0" applyFont="1" applyFill="1" applyAlignment="1">
      <alignment wrapText="1"/>
    </xf>
    <xf numFmtId="0" fontId="25" fillId="0" borderId="1" xfId="0" applyFont="1" applyFill="1" applyBorder="1" applyAlignment="1">
      <alignment vertical="top" wrapText="1"/>
    </xf>
    <xf numFmtId="0" fontId="12" fillId="0" borderId="0" xfId="0" applyFont="1" applyFill="1" applyBorder="1" applyAlignment="1" applyProtection="1">
      <alignment horizontal="center" vertical="center" wrapText="1"/>
      <protection locked="0"/>
    </xf>
    <xf numFmtId="49" fontId="16" fillId="0" borderId="0" xfId="0" applyNumberFormat="1" applyFont="1" applyFill="1" applyBorder="1" applyAlignment="1" applyProtection="1">
      <alignment horizontal="center" vertical="center" wrapText="1"/>
      <protection locked="0"/>
    </xf>
    <xf numFmtId="4" fontId="18" fillId="0" borderId="0" xfId="0" applyNumberFormat="1" applyFont="1" applyFill="1" applyBorder="1" applyAlignment="1" applyProtection="1">
      <alignment horizontal="right" vertical="center" wrapText="1"/>
    </xf>
    <xf numFmtId="0" fontId="34" fillId="0" borderId="0" xfId="0" applyFont="1" applyAlignment="1">
      <alignment vertical="top" wrapText="1"/>
    </xf>
    <xf numFmtId="0" fontId="9" fillId="0"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31" fillId="0" borderId="0" xfId="0" applyNumberFormat="1" applyFont="1" applyFill="1" applyBorder="1" applyAlignment="1" applyProtection="1">
      <alignment horizontal="center" vertical="center" wrapText="1"/>
      <protection locked="0"/>
    </xf>
    <xf numFmtId="4" fontId="21" fillId="0" borderId="1" xfId="0" applyNumberFormat="1" applyFont="1" applyFill="1" applyBorder="1" applyAlignment="1" applyProtection="1">
      <alignment horizontal="center" vertical="center" wrapText="1"/>
      <protection locked="0"/>
    </xf>
    <xf numFmtId="4" fontId="28" fillId="0" borderId="1"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8" fillId="0" borderId="1" xfId="0" applyNumberFormat="1" applyFont="1" applyBorder="1" applyAlignment="1">
      <alignment horizontal="center" vertical="center"/>
    </xf>
    <xf numFmtId="0" fontId="21"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7" fillId="0" borderId="0" xfId="0" applyNumberFormat="1"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21" fillId="0" borderId="1"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6"/>
  <sheetViews>
    <sheetView tabSelected="1" view="pageBreakPreview" zoomScale="43" zoomScaleNormal="60" zoomScaleSheetLayoutView="43" workbookViewId="0">
      <pane xSplit="5" ySplit="11" topLeftCell="F182"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3" width="20.5703125" style="16" customWidth="1"/>
    <col min="4" max="4" width="74.5703125" style="104" customWidth="1"/>
    <col min="5" max="5" width="6.42578125" style="8" hidden="1" customWidth="1"/>
    <col min="6" max="6" width="31.42578125" style="119" customWidth="1"/>
    <col min="7" max="7" width="31.42578125" style="118" customWidth="1"/>
    <col min="8" max="8" width="33.7109375" style="118" customWidth="1"/>
    <col min="9" max="9" width="30.85546875" style="118" customWidth="1"/>
    <col min="10" max="10" width="31.42578125" style="118" customWidth="1"/>
    <col min="11" max="11" width="33.140625" style="118" customWidth="1"/>
    <col min="12" max="12" width="33.28515625" style="118" customWidth="1"/>
    <col min="13" max="13" width="29.85546875" style="118" customWidth="1"/>
    <col min="14" max="14" width="24.140625" style="118" customWidth="1"/>
    <col min="15" max="15" width="31" style="118" customWidth="1"/>
    <col min="16" max="16" width="32.42578125" style="118" customWidth="1"/>
    <col min="17" max="17" width="47.28515625" style="118"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14"/>
      <c r="G1" s="115"/>
      <c r="H1" s="115"/>
      <c r="I1" s="115"/>
      <c r="J1" s="115"/>
      <c r="K1" s="115"/>
      <c r="L1" s="115"/>
      <c r="M1" s="115"/>
      <c r="N1" s="153" t="s">
        <v>439</v>
      </c>
      <c r="O1" s="153"/>
      <c r="P1" s="153"/>
      <c r="Q1" s="153"/>
      <c r="T1" s="9"/>
    </row>
    <row r="2" spans="1:20" s="4" customFormat="1" ht="37.5" customHeight="1">
      <c r="A2" s="154" t="s">
        <v>247</v>
      </c>
      <c r="B2" s="154"/>
      <c r="C2" s="154"/>
      <c r="D2" s="154"/>
      <c r="E2" s="154"/>
      <c r="F2" s="154"/>
      <c r="G2" s="154"/>
      <c r="H2" s="154"/>
      <c r="I2" s="154"/>
      <c r="J2" s="154"/>
      <c r="K2" s="154"/>
      <c r="L2" s="154"/>
      <c r="M2" s="154"/>
      <c r="N2" s="155" t="s">
        <v>452</v>
      </c>
      <c r="O2" s="155"/>
      <c r="P2" s="155"/>
      <c r="Q2" s="155"/>
      <c r="T2" s="9"/>
    </row>
    <row r="3" spans="1:20" s="4" customFormat="1" ht="38.85" customHeight="1">
      <c r="A3" s="120"/>
      <c r="B3" s="120"/>
      <c r="C3" s="120"/>
      <c r="D3" s="120"/>
      <c r="E3" s="120"/>
      <c r="F3" s="120"/>
      <c r="G3" s="121"/>
      <c r="H3" s="121"/>
      <c r="I3" s="121"/>
      <c r="J3" s="121"/>
      <c r="K3" s="121"/>
      <c r="L3" s="121"/>
      <c r="M3" s="158" t="s">
        <v>527</v>
      </c>
      <c r="N3" s="158"/>
      <c r="O3" s="158"/>
      <c r="P3" s="158"/>
      <c r="Q3" s="158"/>
      <c r="T3" s="9"/>
    </row>
    <row r="4" spans="1:20" s="4" customFormat="1" ht="37.9" customHeight="1">
      <c r="A4" s="156" t="s">
        <v>451</v>
      </c>
      <c r="B4" s="156"/>
      <c r="C4" s="156"/>
      <c r="D4" s="156"/>
      <c r="E4" s="156"/>
      <c r="F4" s="156"/>
      <c r="G4" s="156"/>
      <c r="H4" s="156"/>
      <c r="I4" s="156"/>
      <c r="J4" s="156"/>
      <c r="K4" s="156"/>
      <c r="L4" s="156"/>
      <c r="M4" s="156"/>
      <c r="N4" s="159"/>
      <c r="O4" s="159"/>
      <c r="P4" s="159"/>
      <c r="Q4" s="159"/>
      <c r="T4" s="9"/>
    </row>
    <row r="5" spans="1:20" s="4" customFormat="1" ht="27.2" customHeight="1">
      <c r="A5" s="151">
        <v>2553800000</v>
      </c>
      <c r="B5" s="151"/>
      <c r="C5" s="151"/>
      <c r="D5" s="100"/>
      <c r="E5" s="12"/>
      <c r="F5" s="18"/>
      <c r="G5" s="113"/>
      <c r="H5" s="113"/>
      <c r="I5" s="113"/>
      <c r="J5" s="113"/>
      <c r="K5" s="157"/>
      <c r="L5" s="157"/>
      <c r="M5" s="157"/>
      <c r="N5" s="152"/>
      <c r="O5" s="152"/>
      <c r="P5" s="152"/>
      <c r="Q5" s="152"/>
      <c r="T5" s="9"/>
    </row>
    <row r="6" spans="1:20" s="4" customFormat="1" ht="17.45" customHeight="1">
      <c r="A6" s="140" t="s">
        <v>361</v>
      </c>
      <c r="B6" s="140"/>
      <c r="C6" s="140"/>
      <c r="D6" s="100"/>
      <c r="E6" s="6"/>
      <c r="F6" s="18"/>
      <c r="G6" s="113"/>
      <c r="H6" s="113"/>
      <c r="I6" s="113"/>
      <c r="J6" s="113"/>
      <c r="K6" s="113"/>
      <c r="L6" s="113"/>
      <c r="M6" s="113"/>
      <c r="N6" s="113"/>
      <c r="O6" s="113"/>
      <c r="P6" s="116"/>
      <c r="Q6" s="116"/>
      <c r="T6" s="9"/>
    </row>
    <row r="7" spans="1:20" s="19" customFormat="1" ht="30.75" customHeight="1">
      <c r="A7" s="141" t="s">
        <v>267</v>
      </c>
      <c r="B7" s="142" t="s">
        <v>407</v>
      </c>
      <c r="C7" s="141" t="s">
        <v>234</v>
      </c>
      <c r="D7" s="145" t="s">
        <v>358</v>
      </c>
      <c r="E7" s="149" t="s">
        <v>51</v>
      </c>
      <c r="F7" s="146" t="s">
        <v>235</v>
      </c>
      <c r="G7" s="147"/>
      <c r="H7" s="147"/>
      <c r="I7" s="147"/>
      <c r="J7" s="148"/>
      <c r="K7" s="138" t="s">
        <v>492</v>
      </c>
      <c r="L7" s="150"/>
      <c r="M7" s="150"/>
      <c r="N7" s="150"/>
      <c r="O7" s="150"/>
      <c r="P7" s="150"/>
      <c r="Q7" s="138" t="s">
        <v>0</v>
      </c>
      <c r="T7" s="20"/>
    </row>
    <row r="8" spans="1:20" s="19" customFormat="1" ht="33" customHeight="1">
      <c r="A8" s="141"/>
      <c r="B8" s="143"/>
      <c r="C8" s="141"/>
      <c r="D8" s="145"/>
      <c r="E8" s="149"/>
      <c r="F8" s="160" t="s">
        <v>166</v>
      </c>
      <c r="G8" s="138" t="s">
        <v>42</v>
      </c>
      <c r="H8" s="138" t="s">
        <v>24</v>
      </c>
      <c r="I8" s="138"/>
      <c r="J8" s="138" t="s">
        <v>43</v>
      </c>
      <c r="K8" s="138" t="s">
        <v>166</v>
      </c>
      <c r="L8" s="138" t="s">
        <v>236</v>
      </c>
      <c r="M8" s="138" t="s">
        <v>44</v>
      </c>
      <c r="N8" s="138" t="s">
        <v>24</v>
      </c>
      <c r="O8" s="138"/>
      <c r="P8" s="138" t="s">
        <v>45</v>
      </c>
      <c r="Q8" s="138"/>
      <c r="T8" s="20"/>
    </row>
    <row r="9" spans="1:20" s="19" customFormat="1" ht="16.5" customHeight="1">
      <c r="A9" s="141"/>
      <c r="B9" s="143"/>
      <c r="C9" s="141"/>
      <c r="D9" s="145"/>
      <c r="E9" s="149"/>
      <c r="F9" s="160"/>
      <c r="G9" s="138"/>
      <c r="H9" s="138" t="s">
        <v>370</v>
      </c>
      <c r="I9" s="138" t="s">
        <v>19</v>
      </c>
      <c r="J9" s="138"/>
      <c r="K9" s="138"/>
      <c r="L9" s="139"/>
      <c r="M9" s="139"/>
      <c r="N9" s="138" t="s">
        <v>371</v>
      </c>
      <c r="O9" s="138" t="s">
        <v>19</v>
      </c>
      <c r="P9" s="139"/>
      <c r="Q9" s="138"/>
      <c r="T9" s="20"/>
    </row>
    <row r="10" spans="1:20" s="19" customFormat="1" ht="108.75" customHeight="1">
      <c r="A10" s="141"/>
      <c r="B10" s="144"/>
      <c r="C10" s="141"/>
      <c r="D10" s="145"/>
      <c r="E10" s="149"/>
      <c r="F10" s="160"/>
      <c r="G10" s="138"/>
      <c r="H10" s="138"/>
      <c r="I10" s="138"/>
      <c r="J10" s="138"/>
      <c r="K10" s="138"/>
      <c r="L10" s="139"/>
      <c r="M10" s="139"/>
      <c r="N10" s="138"/>
      <c r="O10" s="138"/>
      <c r="P10" s="139"/>
      <c r="Q10" s="138"/>
      <c r="T10" s="20"/>
    </row>
    <row r="11" spans="1:20" s="124" customFormat="1" ht="17.100000000000001" customHeight="1">
      <c r="A11" s="122">
        <v>1</v>
      </c>
      <c r="B11" s="122">
        <v>2</v>
      </c>
      <c r="C11" s="122">
        <v>3</v>
      </c>
      <c r="D11" s="122">
        <v>4</v>
      </c>
      <c r="E11" s="122">
        <v>4</v>
      </c>
      <c r="F11" s="123">
        <v>5</v>
      </c>
      <c r="G11" s="123">
        <v>6</v>
      </c>
      <c r="H11" s="123">
        <v>7</v>
      </c>
      <c r="I11" s="123">
        <v>8</v>
      </c>
      <c r="J11" s="123">
        <v>9</v>
      </c>
      <c r="K11" s="123">
        <v>10</v>
      </c>
      <c r="L11" s="123">
        <v>11</v>
      </c>
      <c r="M11" s="123">
        <v>12</v>
      </c>
      <c r="N11" s="123">
        <v>13</v>
      </c>
      <c r="O11" s="123">
        <v>14</v>
      </c>
      <c r="P11" s="123">
        <v>15</v>
      </c>
      <c r="Q11" s="123">
        <v>16</v>
      </c>
    </row>
    <row r="12" spans="1:20" s="10" customFormat="1" ht="94.5" customHeight="1">
      <c r="A12" s="65" t="s">
        <v>99</v>
      </c>
      <c r="B12" s="65" t="s">
        <v>99</v>
      </c>
      <c r="C12" s="66"/>
      <c r="D12" s="67" t="s">
        <v>1</v>
      </c>
      <c r="E12" s="66" t="s">
        <v>1</v>
      </c>
      <c r="F12" s="68">
        <f>F13</f>
        <v>138820959</v>
      </c>
      <c r="G12" s="68">
        <f>G13</f>
        <v>137414559</v>
      </c>
      <c r="H12" s="68">
        <f t="shared" ref="H12:P12" si="0">H13</f>
        <v>49338159</v>
      </c>
      <c r="I12" s="68">
        <f t="shared" si="0"/>
        <v>1577600</v>
      </c>
      <c r="J12" s="68">
        <f t="shared" si="0"/>
        <v>1406400</v>
      </c>
      <c r="K12" s="68">
        <f t="shared" si="0"/>
        <v>41501855</v>
      </c>
      <c r="L12" s="68">
        <f t="shared" si="0"/>
        <v>41421855</v>
      </c>
      <c r="M12" s="68">
        <f t="shared" si="0"/>
        <v>80000</v>
      </c>
      <c r="N12" s="68">
        <f t="shared" si="0"/>
        <v>0</v>
      </c>
      <c r="O12" s="68">
        <f t="shared" si="0"/>
        <v>0</v>
      </c>
      <c r="P12" s="68">
        <f t="shared" si="0"/>
        <v>41421855</v>
      </c>
      <c r="Q12" s="68">
        <f t="shared" ref="Q12:Q79" si="1">F12+K12</f>
        <v>180322814</v>
      </c>
      <c r="R12" s="52"/>
      <c r="S12" s="52"/>
      <c r="T12" s="53"/>
    </row>
    <row r="13" spans="1:20" s="10" customFormat="1" ht="52.35" customHeight="1">
      <c r="A13" s="26" t="s">
        <v>100</v>
      </c>
      <c r="B13" s="26" t="s">
        <v>100</v>
      </c>
      <c r="C13" s="27"/>
      <c r="D13" s="101" t="str">
        <f>D12</f>
        <v>Виконавчий комітет міської ради</v>
      </c>
      <c r="E13" s="27"/>
      <c r="F13" s="89">
        <f>G13+J13</f>
        <v>138820959</v>
      </c>
      <c r="G13" s="89">
        <f t="shared" ref="G13:P13" si="2">SUM(G14:G41)</f>
        <v>137414559</v>
      </c>
      <c r="H13" s="89">
        <f t="shared" si="2"/>
        <v>49338159</v>
      </c>
      <c r="I13" s="89">
        <f t="shared" si="2"/>
        <v>1577600</v>
      </c>
      <c r="J13" s="89">
        <f t="shared" si="2"/>
        <v>1406400</v>
      </c>
      <c r="K13" s="89">
        <f t="shared" si="2"/>
        <v>41501855</v>
      </c>
      <c r="L13" s="89">
        <f t="shared" si="2"/>
        <v>41421855</v>
      </c>
      <c r="M13" s="89">
        <f t="shared" si="2"/>
        <v>80000</v>
      </c>
      <c r="N13" s="89">
        <f t="shared" si="2"/>
        <v>0</v>
      </c>
      <c r="O13" s="89">
        <f t="shared" si="2"/>
        <v>0</v>
      </c>
      <c r="P13" s="89">
        <f t="shared" si="2"/>
        <v>41421855</v>
      </c>
      <c r="Q13" s="89">
        <f t="shared" si="1"/>
        <v>180322814</v>
      </c>
      <c r="R13" s="54"/>
      <c r="S13" s="52"/>
      <c r="T13" s="53"/>
    </row>
    <row r="14" spans="1:20" s="11" customFormat="1" ht="75.599999999999994" customHeight="1">
      <c r="A14" s="78" t="s">
        <v>101</v>
      </c>
      <c r="B14" s="78" t="s">
        <v>268</v>
      </c>
      <c r="C14" s="78" t="s">
        <v>53</v>
      </c>
      <c r="D14" s="33" t="s">
        <v>375</v>
      </c>
      <c r="E14" s="1" t="s">
        <v>2</v>
      </c>
      <c r="F14" s="89">
        <f t="shared" ref="F14:F67" si="3">G14+J14</f>
        <v>65594215</v>
      </c>
      <c r="G14" s="117">
        <f>47803950+11550000+50000+107000+4978+199000+160000+450000+75000+3268959+125000+129037+1671291</f>
        <v>65594215</v>
      </c>
      <c r="H14" s="117">
        <f>35699200+9500000+2768959+1370000</f>
        <v>49338159</v>
      </c>
      <c r="I14" s="117">
        <f>1414600+160000+3000</f>
        <v>1577600</v>
      </c>
      <c r="J14" s="90"/>
      <c r="K14" s="89">
        <f t="shared" ref="K14:K41" si="4">M14+P14</f>
        <v>3540254</v>
      </c>
      <c r="L14" s="89">
        <f>1000000+600000+50000+268000+42840+1499414</f>
        <v>3460254</v>
      </c>
      <c r="M14" s="89">
        <v>80000</v>
      </c>
      <c r="N14" s="89"/>
      <c r="O14" s="90"/>
      <c r="P14" s="90">
        <f>L14</f>
        <v>3460254</v>
      </c>
      <c r="Q14" s="89">
        <f t="shared" si="1"/>
        <v>69134469</v>
      </c>
      <c r="R14" s="55"/>
      <c r="S14" s="55"/>
      <c r="T14" s="56"/>
    </row>
    <row r="15" spans="1:20" s="11" customFormat="1" ht="51.75" customHeight="1">
      <c r="A15" s="78" t="s">
        <v>108</v>
      </c>
      <c r="B15" s="78" t="s">
        <v>225</v>
      </c>
      <c r="C15" s="78" t="s">
        <v>62</v>
      </c>
      <c r="D15" s="33" t="s">
        <v>489</v>
      </c>
      <c r="E15" s="1"/>
      <c r="F15" s="89">
        <f t="shared" si="3"/>
        <v>2050000</v>
      </c>
      <c r="G15" s="89">
        <f>330000+540000+90000+600000+100000+80000-250000+250000+60000+250000</f>
        <v>2050000</v>
      </c>
      <c r="H15" s="90"/>
      <c r="I15" s="90"/>
      <c r="J15" s="90"/>
      <c r="K15" s="89">
        <f t="shared" si="4"/>
        <v>100000</v>
      </c>
      <c r="L15" s="90">
        <f>100000</f>
        <v>100000</v>
      </c>
      <c r="M15" s="89"/>
      <c r="N15" s="89"/>
      <c r="O15" s="90"/>
      <c r="P15" s="90">
        <f>L15</f>
        <v>100000</v>
      </c>
      <c r="Q15" s="89">
        <f t="shared" si="1"/>
        <v>2150000</v>
      </c>
      <c r="R15" s="55"/>
      <c r="S15" s="55"/>
      <c r="T15" s="56"/>
    </row>
    <row r="16" spans="1:20" s="10" customFormat="1" ht="57.75" customHeight="1">
      <c r="A16" s="78" t="s">
        <v>102</v>
      </c>
      <c r="B16" s="78" t="s">
        <v>269</v>
      </c>
      <c r="C16" s="79" t="s">
        <v>54</v>
      </c>
      <c r="D16" s="34" t="s">
        <v>78</v>
      </c>
      <c r="E16" s="5" t="s">
        <v>52</v>
      </c>
      <c r="F16" s="89">
        <f>G16+J16</f>
        <v>46077456</v>
      </c>
      <c r="G16" s="89">
        <f>20432100+10874350+10000000+2100000+311635+150000-452400+199000+2412771+50000</f>
        <v>46077456</v>
      </c>
      <c r="H16" s="90"/>
      <c r="I16" s="90"/>
      <c r="J16" s="90"/>
      <c r="K16" s="89">
        <f t="shared" si="4"/>
        <v>22852590</v>
      </c>
      <c r="L16" s="89">
        <f>20700000+2001551-10000000+50000+6184402+1635598+95000+3000000-2021190-2412771-50000+3670000</f>
        <v>22852590</v>
      </c>
      <c r="M16" s="89"/>
      <c r="N16" s="89"/>
      <c r="O16" s="90"/>
      <c r="P16" s="91">
        <f>L16</f>
        <v>22852590</v>
      </c>
      <c r="Q16" s="89">
        <f t="shared" si="1"/>
        <v>68930046</v>
      </c>
      <c r="R16" s="52"/>
      <c r="S16" s="52"/>
      <c r="T16" s="53"/>
    </row>
    <row r="17" spans="1:20" s="10" customFormat="1" ht="66" customHeight="1">
      <c r="A17" s="78" t="s">
        <v>104</v>
      </c>
      <c r="B17" s="78" t="s">
        <v>270</v>
      </c>
      <c r="C17" s="78" t="s">
        <v>55</v>
      </c>
      <c r="D17" s="36" t="s">
        <v>95</v>
      </c>
      <c r="E17" s="3"/>
      <c r="F17" s="89">
        <f t="shared" si="3"/>
        <v>1321000</v>
      </c>
      <c r="G17" s="89">
        <f>1170000+35000+116000</f>
        <v>1321000</v>
      </c>
      <c r="H17" s="90"/>
      <c r="I17" s="90"/>
      <c r="J17" s="90"/>
      <c r="K17" s="89">
        <f t="shared" si="4"/>
        <v>1000000</v>
      </c>
      <c r="L17" s="89">
        <f>500000+500000</f>
        <v>1000000</v>
      </c>
      <c r="M17" s="89"/>
      <c r="N17" s="89"/>
      <c r="O17" s="90"/>
      <c r="P17" s="91">
        <f>L17</f>
        <v>1000000</v>
      </c>
      <c r="Q17" s="89">
        <f t="shared" si="1"/>
        <v>2321000</v>
      </c>
      <c r="R17" s="52"/>
      <c r="S17" s="52"/>
      <c r="T17" s="53"/>
    </row>
    <row r="18" spans="1:20" s="10" customFormat="1" ht="81.75" customHeight="1">
      <c r="A18" s="78" t="s">
        <v>178</v>
      </c>
      <c r="B18" s="78" t="s">
        <v>271</v>
      </c>
      <c r="C18" s="78" t="s">
        <v>179</v>
      </c>
      <c r="D18" s="36" t="s">
        <v>364</v>
      </c>
      <c r="E18" s="3"/>
      <c r="F18" s="89">
        <f t="shared" si="3"/>
        <v>10592800</v>
      </c>
      <c r="G18" s="89">
        <f>7696300+175800+1000000+1720700</f>
        <v>10592800</v>
      </c>
      <c r="H18" s="90"/>
      <c r="I18" s="90"/>
      <c r="J18" s="90"/>
      <c r="K18" s="89">
        <f t="shared" si="4"/>
        <v>0</v>
      </c>
      <c r="L18" s="89"/>
      <c r="M18" s="89"/>
      <c r="N18" s="89"/>
      <c r="O18" s="90"/>
      <c r="P18" s="90"/>
      <c r="Q18" s="89">
        <f t="shared" si="1"/>
        <v>10592800</v>
      </c>
      <c r="R18" s="52"/>
      <c r="S18" s="52"/>
      <c r="T18" s="53"/>
    </row>
    <row r="19" spans="1:20" s="10" customFormat="1" ht="57.2" customHeight="1">
      <c r="A19" s="78" t="s">
        <v>103</v>
      </c>
      <c r="B19" s="78" t="s">
        <v>272</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273</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274</v>
      </c>
      <c r="C21" s="78" t="s">
        <v>56</v>
      </c>
      <c r="D21" s="35" t="s">
        <v>237</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449</v>
      </c>
      <c r="B22" s="78" t="s">
        <v>275</v>
      </c>
      <c r="C22" s="78" t="s">
        <v>56</v>
      </c>
      <c r="D22" s="35" t="s">
        <v>238</v>
      </c>
      <c r="E22" s="3"/>
      <c r="F22" s="89">
        <f t="shared" si="3"/>
        <v>400000</v>
      </c>
      <c r="G22" s="92">
        <f>100000+200000+100000</f>
        <v>400000</v>
      </c>
      <c r="H22" s="93"/>
      <c r="I22" s="93"/>
      <c r="J22" s="93"/>
      <c r="K22" s="89">
        <f t="shared" si="4"/>
        <v>0</v>
      </c>
      <c r="L22" s="92"/>
      <c r="M22" s="92"/>
      <c r="N22" s="92"/>
      <c r="O22" s="93"/>
      <c r="P22" s="93"/>
      <c r="Q22" s="89">
        <f t="shared" si="1"/>
        <v>400000</v>
      </c>
      <c r="R22" s="52"/>
      <c r="S22" s="52"/>
      <c r="T22" s="53"/>
    </row>
    <row r="23" spans="1:20" s="4" customFormat="1" ht="42" hidden="1" customHeight="1">
      <c r="A23" s="78" t="s">
        <v>442</v>
      </c>
      <c r="B23" s="78" t="s">
        <v>443</v>
      </c>
      <c r="C23" s="78" t="s">
        <v>56</v>
      </c>
      <c r="D23" s="25" t="s">
        <v>445</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276</v>
      </c>
      <c r="C24" s="78" t="s">
        <v>58</v>
      </c>
      <c r="D24" s="35" t="s">
        <v>79</v>
      </c>
      <c r="E24" s="3" t="s">
        <v>34</v>
      </c>
      <c r="F24" s="89">
        <f t="shared" si="3"/>
        <v>30000</v>
      </c>
      <c r="G24" s="89">
        <f>30000</f>
        <v>30000</v>
      </c>
      <c r="H24" s="90"/>
      <c r="I24" s="90"/>
      <c r="J24" s="90"/>
      <c r="K24" s="89">
        <f t="shared" si="4"/>
        <v>0</v>
      </c>
      <c r="L24" s="89"/>
      <c r="M24" s="89"/>
      <c r="N24" s="89"/>
      <c r="O24" s="90"/>
      <c r="P24" s="90"/>
      <c r="Q24" s="89">
        <f t="shared" si="1"/>
        <v>30000</v>
      </c>
      <c r="R24" s="57"/>
      <c r="S24" s="57"/>
      <c r="T24" s="56"/>
    </row>
    <row r="25" spans="1:20" s="4" customFormat="1" ht="53.65" customHeight="1">
      <c r="A25" s="78" t="s">
        <v>412</v>
      </c>
      <c r="B25" s="78" t="s">
        <v>413</v>
      </c>
      <c r="C25" s="78" t="s">
        <v>58</v>
      </c>
      <c r="D25" s="25" t="s">
        <v>508</v>
      </c>
      <c r="E25" s="3"/>
      <c r="F25" s="89">
        <f t="shared" si="3"/>
        <v>220000</v>
      </c>
      <c r="G25" s="89">
        <f>20000+100000+100000</f>
        <v>220000</v>
      </c>
      <c r="H25" s="90"/>
      <c r="I25" s="90"/>
      <c r="J25" s="90"/>
      <c r="K25" s="89">
        <f t="shared" si="4"/>
        <v>0</v>
      </c>
      <c r="L25" s="89"/>
      <c r="M25" s="89"/>
      <c r="N25" s="89"/>
      <c r="O25" s="90"/>
      <c r="P25" s="90"/>
      <c r="Q25" s="89">
        <f t="shared" si="1"/>
        <v>220000</v>
      </c>
      <c r="R25" s="57"/>
      <c r="S25" s="57"/>
      <c r="T25" s="56"/>
    </row>
    <row r="26" spans="1:20" s="4" customFormat="1" ht="91.35" customHeight="1">
      <c r="A26" s="78" t="s">
        <v>106</v>
      </c>
      <c r="B26" s="78" t="s">
        <v>277</v>
      </c>
      <c r="C26" s="78" t="s">
        <v>58</v>
      </c>
      <c r="D26" s="35" t="s">
        <v>97</v>
      </c>
      <c r="E26" s="3" t="s">
        <v>15</v>
      </c>
      <c r="F26" s="89">
        <f t="shared" si="3"/>
        <v>65000</v>
      </c>
      <c r="G26" s="89">
        <f>20000+45000</f>
        <v>65000</v>
      </c>
      <c r="H26" s="90"/>
      <c r="I26" s="90"/>
      <c r="J26" s="90"/>
      <c r="K26" s="89">
        <f t="shared" si="4"/>
        <v>0</v>
      </c>
      <c r="L26" s="89"/>
      <c r="M26" s="89"/>
      <c r="N26" s="89"/>
      <c r="O26" s="90"/>
      <c r="P26" s="90"/>
      <c r="Q26" s="89">
        <f t="shared" si="1"/>
        <v>65000</v>
      </c>
      <c r="R26" s="57"/>
      <c r="S26" s="57"/>
      <c r="T26" s="56"/>
    </row>
    <row r="27" spans="1:20" s="4" customFormat="1" ht="106.5" customHeight="1">
      <c r="A27" s="78" t="s">
        <v>264</v>
      </c>
      <c r="B27" s="78" t="s">
        <v>278</v>
      </c>
      <c r="C27" s="78" t="s">
        <v>58</v>
      </c>
      <c r="D27" s="35" t="s">
        <v>455</v>
      </c>
      <c r="E27" s="3"/>
      <c r="F27" s="89">
        <f t="shared" si="3"/>
        <v>1450000</v>
      </c>
      <c r="G27" s="89">
        <f>5000+1245000+200000</f>
        <v>1450000</v>
      </c>
      <c r="H27" s="90"/>
      <c r="I27" s="90"/>
      <c r="J27" s="90"/>
      <c r="K27" s="89">
        <f t="shared" si="4"/>
        <v>0</v>
      </c>
      <c r="L27" s="89"/>
      <c r="M27" s="89"/>
      <c r="N27" s="89"/>
      <c r="O27" s="90"/>
      <c r="P27" s="90">
        <f>L27</f>
        <v>0</v>
      </c>
      <c r="Q27" s="89">
        <f t="shared" si="1"/>
        <v>1450000</v>
      </c>
      <c r="R27" s="57"/>
      <c r="S27" s="57"/>
      <c r="T27" s="56"/>
    </row>
    <row r="28" spans="1:20" s="4" customFormat="1" ht="136.5" customHeight="1">
      <c r="A28" s="78" t="s">
        <v>513</v>
      </c>
      <c r="B28" s="78" t="s">
        <v>482</v>
      </c>
      <c r="C28" s="78" t="s">
        <v>68</v>
      </c>
      <c r="D28" s="25" t="s">
        <v>514</v>
      </c>
      <c r="E28" s="3"/>
      <c r="F28" s="89">
        <f t="shared" si="3"/>
        <v>219340</v>
      </c>
      <c r="G28" s="89">
        <f>68980+11400+122860+16100</f>
        <v>219340</v>
      </c>
      <c r="H28" s="90"/>
      <c r="I28" s="90"/>
      <c r="J28" s="90"/>
      <c r="K28" s="89">
        <f t="shared" si="4"/>
        <v>0</v>
      </c>
      <c r="L28" s="89"/>
      <c r="M28" s="89"/>
      <c r="N28" s="89"/>
      <c r="O28" s="90"/>
      <c r="P28" s="90"/>
      <c r="Q28" s="89">
        <f t="shared" si="1"/>
        <v>219340</v>
      </c>
      <c r="R28" s="57"/>
      <c r="S28" s="57"/>
      <c r="T28" s="56"/>
    </row>
    <row r="29" spans="1:20" s="4" customFormat="1" ht="79.5" customHeight="1">
      <c r="A29" s="78" t="s">
        <v>457</v>
      </c>
      <c r="B29" s="78" t="s">
        <v>458</v>
      </c>
      <c r="C29" s="78" t="s">
        <v>68</v>
      </c>
      <c r="D29" s="41" t="s">
        <v>490</v>
      </c>
      <c r="E29" s="3"/>
      <c r="F29" s="89">
        <f t="shared" si="3"/>
        <v>250000</v>
      </c>
      <c r="G29" s="89">
        <v>250000</v>
      </c>
      <c r="H29" s="90"/>
      <c r="I29" s="90"/>
      <c r="J29" s="90"/>
      <c r="K29" s="89">
        <f t="shared" si="4"/>
        <v>0</v>
      </c>
      <c r="L29" s="89"/>
      <c r="M29" s="89"/>
      <c r="N29" s="89"/>
      <c r="O29" s="90"/>
      <c r="P29" s="90"/>
      <c r="Q29" s="89">
        <f t="shared" si="1"/>
        <v>250000</v>
      </c>
      <c r="R29" s="57"/>
      <c r="S29" s="57"/>
      <c r="T29" s="56"/>
    </row>
    <row r="30" spans="1:20" s="4" customFormat="1" ht="54.75" customHeight="1">
      <c r="A30" s="78" t="s">
        <v>181</v>
      </c>
      <c r="B30" s="78" t="s">
        <v>279</v>
      </c>
      <c r="C30" s="78" t="s">
        <v>57</v>
      </c>
      <c r="D30" s="35" t="s">
        <v>182</v>
      </c>
      <c r="E30" s="3"/>
      <c r="F30" s="89">
        <f t="shared" si="3"/>
        <v>480000</v>
      </c>
      <c r="G30" s="89">
        <f>120000+360000</f>
        <v>480000</v>
      </c>
      <c r="H30" s="90"/>
      <c r="I30" s="90"/>
      <c r="J30" s="90"/>
      <c r="K30" s="89">
        <f t="shared" si="4"/>
        <v>0</v>
      </c>
      <c r="L30" s="89"/>
      <c r="M30" s="89"/>
      <c r="N30" s="89"/>
      <c r="O30" s="90"/>
      <c r="P30" s="90"/>
      <c r="Q30" s="89">
        <f t="shared" si="1"/>
        <v>480000</v>
      </c>
      <c r="R30" s="57"/>
      <c r="S30" s="57"/>
      <c r="T30" s="56"/>
    </row>
    <row r="31" spans="1:20" s="4" customFormat="1" ht="67.900000000000006" customHeight="1">
      <c r="A31" s="78" t="s">
        <v>479</v>
      </c>
      <c r="B31" s="78" t="s">
        <v>478</v>
      </c>
      <c r="C31" s="78" t="s">
        <v>246</v>
      </c>
      <c r="D31" s="25" t="s">
        <v>480</v>
      </c>
      <c r="E31" s="3" t="s">
        <v>18</v>
      </c>
      <c r="F31" s="89">
        <f t="shared" si="3"/>
        <v>0</v>
      </c>
      <c r="G31" s="89"/>
      <c r="H31" s="90"/>
      <c r="I31" s="90"/>
      <c r="J31" s="90"/>
      <c r="K31" s="89">
        <f t="shared" si="4"/>
        <v>0</v>
      </c>
      <c r="L31" s="89">
        <f>1500000-1500000</f>
        <v>0</v>
      </c>
      <c r="M31" s="89"/>
      <c r="N31" s="89"/>
      <c r="O31" s="90"/>
      <c r="P31" s="90">
        <f t="shared" ref="P31:P35" si="5">L31</f>
        <v>0</v>
      </c>
      <c r="Q31" s="89">
        <f t="shared" si="1"/>
        <v>0</v>
      </c>
      <c r="R31" s="57"/>
      <c r="S31" s="57"/>
      <c r="T31" s="56"/>
    </row>
    <row r="32" spans="1:20" s="4" customFormat="1" ht="45" customHeight="1">
      <c r="A32" s="78" t="s">
        <v>434</v>
      </c>
      <c r="B32" s="78" t="s">
        <v>331</v>
      </c>
      <c r="C32" s="78" t="s">
        <v>73</v>
      </c>
      <c r="D32" s="34" t="s">
        <v>424</v>
      </c>
      <c r="E32" s="3"/>
      <c r="F32" s="89">
        <f t="shared" si="3"/>
        <v>0</v>
      </c>
      <c r="G32" s="92"/>
      <c r="H32" s="93"/>
      <c r="I32" s="93"/>
      <c r="J32" s="93"/>
      <c r="K32" s="89">
        <f t="shared" si="4"/>
        <v>707026</v>
      </c>
      <c r="L32" s="92">
        <f>245000-99924+561950</f>
        <v>707026</v>
      </c>
      <c r="M32" s="92"/>
      <c r="N32" s="92"/>
      <c r="O32" s="93"/>
      <c r="P32" s="93">
        <f>L32</f>
        <v>707026</v>
      </c>
      <c r="Q32" s="89">
        <f t="shared" si="1"/>
        <v>707026</v>
      </c>
      <c r="R32" s="57"/>
      <c r="S32" s="57"/>
      <c r="T32" s="56"/>
    </row>
    <row r="33" spans="1:20" s="4" customFormat="1" ht="67.900000000000006" customHeight="1">
      <c r="A33" s="78" t="s">
        <v>340</v>
      </c>
      <c r="B33" s="78" t="s">
        <v>332</v>
      </c>
      <c r="C33" s="78" t="s">
        <v>73</v>
      </c>
      <c r="D33" s="25" t="s">
        <v>341</v>
      </c>
      <c r="E33" s="3"/>
      <c r="F33" s="89">
        <f t="shared" si="3"/>
        <v>200000</v>
      </c>
      <c r="G33" s="92">
        <f>200000</f>
        <v>200000</v>
      </c>
      <c r="H33" s="93"/>
      <c r="I33" s="93"/>
      <c r="J33" s="93"/>
      <c r="K33" s="89">
        <f t="shared" si="4"/>
        <v>2072000</v>
      </c>
      <c r="L33" s="92">
        <f>2000000-245000-600000-83000+1000000</f>
        <v>2072000</v>
      </c>
      <c r="M33" s="92"/>
      <c r="N33" s="92"/>
      <c r="O33" s="93"/>
      <c r="P33" s="93">
        <f t="shared" si="5"/>
        <v>2072000</v>
      </c>
      <c r="Q33" s="89">
        <f t="shared" si="1"/>
        <v>2272000</v>
      </c>
      <c r="R33" s="57"/>
      <c r="S33" s="57"/>
      <c r="T33" s="56"/>
    </row>
    <row r="34" spans="1:20" s="4" customFormat="1" ht="73.5" customHeight="1">
      <c r="A34" s="78" t="s">
        <v>171</v>
      </c>
      <c r="B34" s="78" t="s">
        <v>281</v>
      </c>
      <c r="C34" s="78" t="s">
        <v>170</v>
      </c>
      <c r="D34" s="25" t="s">
        <v>363</v>
      </c>
      <c r="E34" s="3"/>
      <c r="F34" s="89">
        <f t="shared" si="3"/>
        <v>0</v>
      </c>
      <c r="G34" s="89">
        <v>0</v>
      </c>
      <c r="H34" s="90"/>
      <c r="I34" s="90"/>
      <c r="J34" s="90"/>
      <c r="K34" s="89">
        <f>M34+P34</f>
        <v>0</v>
      </c>
      <c r="L34" s="89"/>
      <c r="M34" s="89"/>
      <c r="N34" s="89"/>
      <c r="O34" s="90"/>
      <c r="P34" s="90">
        <f t="shared" si="5"/>
        <v>0</v>
      </c>
      <c r="Q34" s="89">
        <f>F34+K34</f>
        <v>0</v>
      </c>
      <c r="R34" s="57"/>
      <c r="S34" s="57"/>
      <c r="T34" s="56"/>
    </row>
    <row r="35" spans="1:20" s="4" customFormat="1" ht="80.25" customHeight="1">
      <c r="A35" s="78" t="s">
        <v>342</v>
      </c>
      <c r="B35" s="78" t="s">
        <v>343</v>
      </c>
      <c r="C35" s="78" t="s">
        <v>344</v>
      </c>
      <c r="D35" s="25" t="s">
        <v>345</v>
      </c>
      <c r="E35" s="3"/>
      <c r="F35" s="89">
        <f>G35+J35</f>
        <v>2177324</v>
      </c>
      <c r="G35" s="89">
        <f>771000+99924</f>
        <v>870924</v>
      </c>
      <c r="H35" s="90"/>
      <c r="I35" s="90"/>
      <c r="J35" s="90">
        <f>395000+160000+24000+452400+275000</f>
        <v>1306400</v>
      </c>
      <c r="K35" s="89">
        <f t="shared" si="4"/>
        <v>876985</v>
      </c>
      <c r="L35" s="89">
        <f>307985+195000+374000</f>
        <v>876985</v>
      </c>
      <c r="M35" s="89"/>
      <c r="N35" s="89"/>
      <c r="O35" s="90"/>
      <c r="P35" s="90">
        <f t="shared" si="5"/>
        <v>876985</v>
      </c>
      <c r="Q35" s="89">
        <f t="shared" si="1"/>
        <v>3054309</v>
      </c>
      <c r="R35" s="57"/>
      <c r="S35" s="57"/>
      <c r="T35" s="56"/>
    </row>
    <row r="36" spans="1:20" s="4" customFormat="1" ht="80.25" customHeight="1">
      <c r="A36" s="78" t="s">
        <v>231</v>
      </c>
      <c r="B36" s="78" t="s">
        <v>284</v>
      </c>
      <c r="C36" s="78" t="s">
        <v>170</v>
      </c>
      <c r="D36" s="35" t="s">
        <v>232</v>
      </c>
      <c r="E36" s="3"/>
      <c r="F36" s="89">
        <f t="shared" si="3"/>
        <v>95022</v>
      </c>
      <c r="G36" s="89">
        <f>100000-4978</f>
        <v>95022</v>
      </c>
      <c r="H36" s="90"/>
      <c r="I36" s="90"/>
      <c r="J36" s="90"/>
      <c r="K36" s="89">
        <f t="shared" si="4"/>
        <v>0</v>
      </c>
      <c r="L36" s="89"/>
      <c r="M36" s="89"/>
      <c r="N36" s="89"/>
      <c r="O36" s="90"/>
      <c r="P36" s="90"/>
      <c r="Q36" s="89">
        <f t="shared" si="1"/>
        <v>95022</v>
      </c>
      <c r="R36" s="57"/>
      <c r="S36" s="57"/>
      <c r="T36" s="56"/>
    </row>
    <row r="37" spans="1:20" s="4" customFormat="1" ht="80.25" customHeight="1">
      <c r="A37" s="78" t="s">
        <v>448</v>
      </c>
      <c r="B37" s="78" t="s">
        <v>366</v>
      </c>
      <c r="C37" s="78" t="s">
        <v>170</v>
      </c>
      <c r="D37" s="35" t="s">
        <v>367</v>
      </c>
      <c r="E37" s="3"/>
      <c r="F37" s="89">
        <f t="shared" si="3"/>
        <v>100000</v>
      </c>
      <c r="G37" s="92">
        <v>0</v>
      </c>
      <c r="H37" s="93"/>
      <c r="I37" s="93"/>
      <c r="J37" s="93">
        <v>100000</v>
      </c>
      <c r="K37" s="89">
        <f t="shared" si="4"/>
        <v>0</v>
      </c>
      <c r="L37" s="92"/>
      <c r="M37" s="92"/>
      <c r="N37" s="92"/>
      <c r="O37" s="93"/>
      <c r="P37" s="93"/>
      <c r="Q37" s="89">
        <f t="shared" si="1"/>
        <v>100000</v>
      </c>
      <c r="R37" s="57"/>
      <c r="S37" s="57"/>
      <c r="T37" s="56"/>
    </row>
    <row r="38" spans="1:20" s="4" customFormat="1" ht="80.25" customHeight="1">
      <c r="A38" s="78" t="s">
        <v>107</v>
      </c>
      <c r="B38" s="78" t="s">
        <v>285</v>
      </c>
      <c r="C38" s="78" t="s">
        <v>61</v>
      </c>
      <c r="D38" s="25" t="s">
        <v>215</v>
      </c>
      <c r="E38" s="3"/>
      <c r="F38" s="89">
        <f t="shared" si="3"/>
        <v>850000</v>
      </c>
      <c r="G38" s="89">
        <f>100000+50000+700000</f>
        <v>850000</v>
      </c>
      <c r="H38" s="90"/>
      <c r="I38" s="90"/>
      <c r="J38" s="90"/>
      <c r="K38" s="89">
        <f t="shared" si="4"/>
        <v>925000</v>
      </c>
      <c r="L38" s="89">
        <f>875000+50000</f>
        <v>925000</v>
      </c>
      <c r="M38" s="89"/>
      <c r="N38" s="89"/>
      <c r="O38" s="90"/>
      <c r="P38" s="90">
        <f>L38</f>
        <v>925000</v>
      </c>
      <c r="Q38" s="89">
        <f t="shared" si="1"/>
        <v>1775000</v>
      </c>
      <c r="R38" s="57"/>
      <c r="S38" s="57"/>
      <c r="T38" s="56"/>
    </row>
    <row r="39" spans="1:20" s="4" customFormat="1" ht="80.25" customHeight="1">
      <c r="A39" s="80" t="s">
        <v>372</v>
      </c>
      <c r="B39" s="80" t="s">
        <v>373</v>
      </c>
      <c r="C39" s="80" t="s">
        <v>348</v>
      </c>
      <c r="D39" s="37" t="s">
        <v>374</v>
      </c>
      <c r="E39" s="3"/>
      <c r="F39" s="89">
        <f t="shared" si="3"/>
        <v>3571800</v>
      </c>
      <c r="G39" s="92">
        <f>2700000+750000+21800+100000</f>
        <v>3571800</v>
      </c>
      <c r="H39" s="93"/>
      <c r="I39" s="93"/>
      <c r="J39" s="93"/>
      <c r="K39" s="89">
        <f t="shared" si="4"/>
        <v>0</v>
      </c>
      <c r="L39" s="92"/>
      <c r="M39" s="92"/>
      <c r="N39" s="92"/>
      <c r="O39" s="93"/>
      <c r="P39" s="93">
        <f>L39</f>
        <v>0</v>
      </c>
      <c r="Q39" s="89">
        <f t="shared" si="1"/>
        <v>3571800</v>
      </c>
      <c r="R39" s="57"/>
      <c r="S39" s="57"/>
      <c r="T39" s="56"/>
    </row>
    <row r="40" spans="1:20" s="4" customFormat="1" ht="80.25" customHeight="1">
      <c r="A40" s="80" t="s">
        <v>346</v>
      </c>
      <c r="B40" s="80" t="s">
        <v>347</v>
      </c>
      <c r="C40" s="80" t="s">
        <v>348</v>
      </c>
      <c r="D40" s="37" t="s">
        <v>349</v>
      </c>
      <c r="E40" s="3" t="s">
        <v>4</v>
      </c>
      <c r="F40" s="89">
        <f t="shared" si="3"/>
        <v>200000</v>
      </c>
      <c r="G40" s="92">
        <v>200000</v>
      </c>
      <c r="H40" s="93"/>
      <c r="I40" s="93">
        <v>0</v>
      </c>
      <c r="J40" s="93"/>
      <c r="K40" s="89">
        <f t="shared" si="4"/>
        <v>0</v>
      </c>
      <c r="L40" s="92"/>
      <c r="M40" s="92"/>
      <c r="N40" s="92"/>
      <c r="O40" s="93"/>
      <c r="P40" s="93"/>
      <c r="Q40" s="89">
        <f t="shared" si="1"/>
        <v>200000</v>
      </c>
      <c r="R40" s="57"/>
      <c r="S40" s="57"/>
      <c r="T40" s="56"/>
    </row>
    <row r="41" spans="1:20" s="4" customFormat="1" ht="80.25" customHeight="1">
      <c r="A41" s="78" t="s">
        <v>417</v>
      </c>
      <c r="B41" s="78" t="s">
        <v>418</v>
      </c>
      <c r="C41" s="78" t="s">
        <v>348</v>
      </c>
      <c r="D41" s="35" t="s">
        <v>420</v>
      </c>
      <c r="E41" s="21"/>
      <c r="F41" s="89">
        <f t="shared" si="3"/>
        <v>2394402</v>
      </c>
      <c r="G41" s="89">
        <f>3300000-95000-810598-250000+250000</f>
        <v>2394402</v>
      </c>
      <c r="H41" s="90"/>
      <c r="I41" s="90"/>
      <c r="J41" s="90"/>
      <c r="K41" s="89">
        <f t="shared" si="4"/>
        <v>9428000</v>
      </c>
      <c r="L41" s="89">
        <f>3600000+5600000+228000</f>
        <v>9428000</v>
      </c>
      <c r="M41" s="89"/>
      <c r="N41" s="89"/>
      <c r="O41" s="90"/>
      <c r="P41" s="90">
        <f>L41</f>
        <v>9428000</v>
      </c>
      <c r="Q41" s="89">
        <f t="shared" si="1"/>
        <v>11822402</v>
      </c>
      <c r="R41" s="57"/>
      <c r="S41" s="57"/>
      <c r="T41" s="56"/>
    </row>
    <row r="42" spans="1:20" s="12" customFormat="1" ht="75.75" customHeight="1">
      <c r="A42" s="65" t="s">
        <v>111</v>
      </c>
      <c r="B42" s="65" t="s">
        <v>111</v>
      </c>
      <c r="C42" s="69"/>
      <c r="D42" s="70" t="s">
        <v>25</v>
      </c>
      <c r="E42" s="69" t="s">
        <v>25</v>
      </c>
      <c r="F42" s="111">
        <f t="shared" si="3"/>
        <v>388623751</v>
      </c>
      <c r="G42" s="68">
        <f t="shared" ref="G42:P42" si="6">G43</f>
        <v>388623751</v>
      </c>
      <c r="H42" s="68">
        <f t="shared" si="6"/>
        <v>232279350</v>
      </c>
      <c r="I42" s="68">
        <f t="shared" si="6"/>
        <v>48980100</v>
      </c>
      <c r="J42" s="68">
        <f t="shared" si="6"/>
        <v>0</v>
      </c>
      <c r="K42" s="68">
        <f t="shared" si="6"/>
        <v>63921628.120000005</v>
      </c>
      <c r="L42" s="68">
        <f t="shared" si="6"/>
        <v>38753433.009999998</v>
      </c>
      <c r="M42" s="68">
        <f t="shared" si="6"/>
        <v>25168195.109999999</v>
      </c>
      <c r="N42" s="68">
        <f t="shared" si="6"/>
        <v>323300</v>
      </c>
      <c r="O42" s="68">
        <f t="shared" si="6"/>
        <v>284800</v>
      </c>
      <c r="P42" s="68">
        <f t="shared" si="6"/>
        <v>38753433.009999998</v>
      </c>
      <c r="Q42" s="68">
        <f t="shared" si="1"/>
        <v>452545379.12</v>
      </c>
      <c r="R42" s="58"/>
      <c r="S42" s="58"/>
      <c r="T42" s="53"/>
    </row>
    <row r="43" spans="1:20" s="12" customFormat="1" ht="55.9" customHeight="1">
      <c r="A43" s="82" t="s">
        <v>112</v>
      </c>
      <c r="B43" s="82" t="s">
        <v>112</v>
      </c>
      <c r="C43" s="83"/>
      <c r="D43" s="31" t="s">
        <v>144</v>
      </c>
      <c r="E43" s="28"/>
      <c r="F43" s="89">
        <f t="shared" si="3"/>
        <v>388623751</v>
      </c>
      <c r="G43" s="89">
        <f>SUM(G44:G73)-G48-G50-G55-G56-G59-G60</f>
        <v>388623751</v>
      </c>
      <c r="H43" s="89">
        <f t="shared" ref="H43:I43" si="7">SUM(H44:H73)-H48-H50-H55-H56-H59-H60</f>
        <v>232279350</v>
      </c>
      <c r="I43" s="89">
        <f t="shared" si="7"/>
        <v>48980100</v>
      </c>
      <c r="J43" s="89">
        <f t="shared" ref="J43:P43" si="8">SUM(J44:J73)-J48-J50-J55-J56-J59-J60</f>
        <v>0</v>
      </c>
      <c r="K43" s="89">
        <f>SUM(K44:K73)-K48-K50-K55-K56-K59-K60</f>
        <v>63921628.120000005</v>
      </c>
      <c r="L43" s="89">
        <f t="shared" si="8"/>
        <v>38753433.009999998</v>
      </c>
      <c r="M43" s="89">
        <f t="shared" si="8"/>
        <v>25168195.109999999</v>
      </c>
      <c r="N43" s="89">
        <f t="shared" si="8"/>
        <v>323300</v>
      </c>
      <c r="O43" s="89">
        <f t="shared" si="8"/>
        <v>284800</v>
      </c>
      <c r="P43" s="89">
        <f t="shared" si="8"/>
        <v>38753433.009999998</v>
      </c>
      <c r="Q43" s="89">
        <f t="shared" si="1"/>
        <v>452545379.12</v>
      </c>
      <c r="R43" s="58"/>
      <c r="S43" s="58"/>
      <c r="T43" s="53"/>
    </row>
    <row r="44" spans="1:20" s="4" customFormat="1" ht="77.45" customHeight="1">
      <c r="A44" s="78" t="s">
        <v>114</v>
      </c>
      <c r="B44" s="78" t="s">
        <v>268</v>
      </c>
      <c r="C44" s="78" t="s">
        <v>53</v>
      </c>
      <c r="D44" s="33" t="s">
        <v>376</v>
      </c>
      <c r="E44" s="30" t="s">
        <v>2</v>
      </c>
      <c r="F44" s="89">
        <f t="shared" si="3"/>
        <v>4370000</v>
      </c>
      <c r="G44" s="89">
        <f>3910000+460000</f>
        <v>4370000</v>
      </c>
      <c r="H44" s="90">
        <f>3051200+380000</f>
        <v>3431200</v>
      </c>
      <c r="I44" s="90">
        <v>44100</v>
      </c>
      <c r="J44" s="90"/>
      <c r="K44" s="89">
        <f t="shared" ref="K44:K73" si="9">M44+P44</f>
        <v>0</v>
      </c>
      <c r="L44" s="89"/>
      <c r="M44" s="90"/>
      <c r="N44" s="89"/>
      <c r="O44" s="90"/>
      <c r="P44" s="90"/>
      <c r="Q44" s="89">
        <f t="shared" si="1"/>
        <v>4370000</v>
      </c>
      <c r="R44" s="57"/>
      <c r="S44" s="57"/>
      <c r="T44" s="56"/>
    </row>
    <row r="45" spans="1:20" s="4" customFormat="1" ht="58.5" customHeight="1">
      <c r="A45" s="78" t="s">
        <v>222</v>
      </c>
      <c r="B45" s="78" t="s">
        <v>225</v>
      </c>
      <c r="C45" s="78" t="s">
        <v>62</v>
      </c>
      <c r="D45" s="33" t="s">
        <v>109</v>
      </c>
      <c r="E45" s="30"/>
      <c r="F45" s="89">
        <f t="shared" si="3"/>
        <v>90000</v>
      </c>
      <c r="G45" s="89">
        <f>90000</f>
        <v>90000</v>
      </c>
      <c r="H45" s="90"/>
      <c r="I45" s="90"/>
      <c r="J45" s="90"/>
      <c r="K45" s="89">
        <f t="shared" si="9"/>
        <v>0</v>
      </c>
      <c r="L45" s="89"/>
      <c r="M45" s="90"/>
      <c r="N45" s="89"/>
      <c r="O45" s="90"/>
      <c r="P45" s="90"/>
      <c r="Q45" s="89">
        <f t="shared" si="1"/>
        <v>90000</v>
      </c>
      <c r="R45" s="57"/>
      <c r="S45" s="57"/>
      <c r="T45" s="56"/>
    </row>
    <row r="46" spans="1:20" s="4" customFormat="1" ht="69" customHeight="1">
      <c r="A46" s="78" t="s">
        <v>115</v>
      </c>
      <c r="B46" s="78" t="s">
        <v>71</v>
      </c>
      <c r="C46" s="78" t="s">
        <v>63</v>
      </c>
      <c r="D46" s="25" t="s">
        <v>116</v>
      </c>
      <c r="E46" s="30" t="s">
        <v>6</v>
      </c>
      <c r="F46" s="89">
        <f t="shared" si="3"/>
        <v>74038500</v>
      </c>
      <c r="G46" s="89">
        <f>72618500-230000-30000-40000-280000+2000000</f>
        <v>74038500</v>
      </c>
      <c r="H46" s="90">
        <v>39558500</v>
      </c>
      <c r="I46" s="90">
        <f>14299000-230000-40000-280000</f>
        <v>13749000</v>
      </c>
      <c r="J46" s="90"/>
      <c r="K46" s="89">
        <f t="shared" si="9"/>
        <v>10114300</v>
      </c>
      <c r="L46" s="89"/>
      <c r="M46" s="90">
        <v>10114300</v>
      </c>
      <c r="N46" s="89"/>
      <c r="O46" s="90"/>
      <c r="P46" s="90">
        <f>L46</f>
        <v>0</v>
      </c>
      <c r="Q46" s="89">
        <f t="shared" si="1"/>
        <v>84152800</v>
      </c>
      <c r="R46" s="57"/>
      <c r="S46" s="57"/>
      <c r="T46" s="56"/>
    </row>
    <row r="47" spans="1:20" s="4" customFormat="1" ht="59.25" customHeight="1">
      <c r="A47" s="78" t="s">
        <v>117</v>
      </c>
      <c r="B47" s="78" t="s">
        <v>72</v>
      </c>
      <c r="C47" s="78"/>
      <c r="D47" s="48" t="s">
        <v>414</v>
      </c>
      <c r="E47" s="30" t="s">
        <v>36</v>
      </c>
      <c r="F47" s="89">
        <f t="shared" si="3"/>
        <v>141816793</v>
      </c>
      <c r="G47" s="89">
        <f>G48</f>
        <v>141816793</v>
      </c>
      <c r="H47" s="89">
        <f t="shared" ref="H47:J47" si="10">H48</f>
        <v>58809500</v>
      </c>
      <c r="I47" s="89">
        <f t="shared" si="10"/>
        <v>32919200</v>
      </c>
      <c r="J47" s="89">
        <f t="shared" si="10"/>
        <v>0</v>
      </c>
      <c r="K47" s="89">
        <f>K48</f>
        <v>11770650</v>
      </c>
      <c r="L47" s="89">
        <f t="shared" ref="L47:P47" si="11">L48</f>
        <v>3768650</v>
      </c>
      <c r="M47" s="89">
        <f t="shared" si="11"/>
        <v>8002000</v>
      </c>
      <c r="N47" s="89">
        <f t="shared" si="11"/>
        <v>323300</v>
      </c>
      <c r="O47" s="89">
        <f t="shared" si="11"/>
        <v>284800</v>
      </c>
      <c r="P47" s="89">
        <f t="shared" si="11"/>
        <v>3768650</v>
      </c>
      <c r="Q47" s="89">
        <f>F47+K47</f>
        <v>153587443</v>
      </c>
      <c r="R47" s="57"/>
      <c r="S47" s="57"/>
      <c r="T47" s="56"/>
    </row>
    <row r="48" spans="1:20" s="4" customFormat="1" ht="75.75" customHeight="1">
      <c r="A48" s="84" t="s">
        <v>378</v>
      </c>
      <c r="B48" s="84" t="s">
        <v>377</v>
      </c>
      <c r="C48" s="84" t="s">
        <v>64</v>
      </c>
      <c r="D48" s="49" t="s">
        <v>425</v>
      </c>
      <c r="E48" s="30"/>
      <c r="F48" s="89">
        <f t="shared" si="3"/>
        <v>141816793</v>
      </c>
      <c r="G48" s="89">
        <f>110094220+2000000+17716930+36000+8000000+584600+2564443+20000+200000-40000+30000-70000-194000+194000-136000+136000-55000+55000+60000+199900-183000+180000+148700+300000-25000</f>
        <v>141816793</v>
      </c>
      <c r="H48" s="90">
        <f>51829500+6500000+480000</f>
        <v>58809500</v>
      </c>
      <c r="I48" s="90">
        <f>33582200-70000-194000-136000-55000-183000-25000</f>
        <v>32919200</v>
      </c>
      <c r="J48" s="90"/>
      <c r="K48" s="89">
        <f t="shared" si="9"/>
        <v>11770650</v>
      </c>
      <c r="L48" s="89">
        <f>5828650+40000+200000-2300000</f>
        <v>3768650</v>
      </c>
      <c r="M48" s="90">
        <v>8002000</v>
      </c>
      <c r="N48" s="89">
        <v>323300</v>
      </c>
      <c r="O48" s="90">
        <v>284800</v>
      </c>
      <c r="P48" s="90">
        <f>L48</f>
        <v>3768650</v>
      </c>
      <c r="Q48" s="89">
        <f>F48+K48</f>
        <v>153587443</v>
      </c>
      <c r="R48" s="57"/>
      <c r="S48" s="57"/>
      <c r="T48" s="56"/>
    </row>
    <row r="49" spans="1:20" s="4" customFormat="1" ht="1.5" hidden="1" customHeight="1">
      <c r="A49" s="78" t="s">
        <v>379</v>
      </c>
      <c r="B49" s="78" t="s">
        <v>68</v>
      </c>
      <c r="C49" s="78"/>
      <c r="D49" s="48" t="s">
        <v>415</v>
      </c>
      <c r="E49" s="30" t="s">
        <v>7</v>
      </c>
      <c r="F49" s="89">
        <f t="shared" si="3"/>
        <v>129169800</v>
      </c>
      <c r="G49" s="89">
        <f>G50</f>
        <v>129169800</v>
      </c>
      <c r="H49" s="89">
        <f>H50</f>
        <v>105880000</v>
      </c>
      <c r="I49" s="90"/>
      <c r="J49" s="90"/>
      <c r="K49" s="89">
        <f t="shared" si="9"/>
        <v>0</v>
      </c>
      <c r="L49" s="89"/>
      <c r="M49" s="90"/>
      <c r="N49" s="89"/>
      <c r="O49" s="90"/>
      <c r="P49" s="90"/>
      <c r="Q49" s="89">
        <f t="shared" si="1"/>
        <v>129169800</v>
      </c>
      <c r="R49" s="57"/>
      <c r="S49" s="57"/>
      <c r="T49" s="56"/>
    </row>
    <row r="50" spans="1:20" s="4" customFormat="1" ht="75" customHeight="1">
      <c r="A50" s="78" t="s">
        <v>380</v>
      </c>
      <c r="B50" s="78" t="s">
        <v>381</v>
      </c>
      <c r="C50" s="78" t="s">
        <v>64</v>
      </c>
      <c r="D50" s="128" t="s">
        <v>426</v>
      </c>
      <c r="E50" s="30" t="s">
        <v>8</v>
      </c>
      <c r="F50" s="89">
        <f t="shared" si="3"/>
        <v>129169800</v>
      </c>
      <c r="G50" s="89">
        <f>86178100+42991700</f>
        <v>129169800</v>
      </c>
      <c r="H50" s="90">
        <f>70640000+35240000</f>
        <v>105880000</v>
      </c>
      <c r="I50" s="90"/>
      <c r="J50" s="90"/>
      <c r="K50" s="89">
        <f t="shared" si="9"/>
        <v>0</v>
      </c>
      <c r="L50" s="89"/>
      <c r="M50" s="90"/>
      <c r="N50" s="89"/>
      <c r="O50" s="90"/>
      <c r="P50" s="90"/>
      <c r="Q50" s="89">
        <f t="shared" si="1"/>
        <v>129169800</v>
      </c>
      <c r="R50" s="57"/>
      <c r="S50" s="57"/>
      <c r="T50" s="56"/>
    </row>
    <row r="51" spans="1:20" s="4" customFormat="1" ht="70.349999999999994" customHeight="1">
      <c r="A51" s="78" t="s">
        <v>382</v>
      </c>
      <c r="B51" s="78" t="s">
        <v>69</v>
      </c>
      <c r="C51" s="81" t="s">
        <v>65</v>
      </c>
      <c r="D51" s="47" t="s">
        <v>383</v>
      </c>
      <c r="E51" s="39" t="s">
        <v>39</v>
      </c>
      <c r="F51" s="89">
        <f t="shared" si="3"/>
        <v>13156500</v>
      </c>
      <c r="G51" s="89">
        <f>12426500+500000+230000</f>
        <v>13156500</v>
      </c>
      <c r="H51" s="90">
        <v>8833700</v>
      </c>
      <c r="I51" s="90">
        <f>799700+500000+230000</f>
        <v>1529700</v>
      </c>
      <c r="J51" s="90"/>
      <c r="K51" s="89">
        <f t="shared" si="9"/>
        <v>230000</v>
      </c>
      <c r="L51" s="89">
        <f>200000+30000</f>
        <v>230000</v>
      </c>
      <c r="M51" s="90"/>
      <c r="N51" s="89"/>
      <c r="O51" s="90"/>
      <c r="P51" s="90">
        <f>L51</f>
        <v>230000</v>
      </c>
      <c r="Q51" s="89">
        <f t="shared" si="1"/>
        <v>13386500</v>
      </c>
      <c r="R51" s="57"/>
      <c r="S51" s="57"/>
      <c r="T51" s="56"/>
    </row>
    <row r="52" spans="1:20" s="4" customFormat="1" ht="50.45" customHeight="1">
      <c r="A52" s="78" t="s">
        <v>410</v>
      </c>
      <c r="B52" s="78" t="s">
        <v>386</v>
      </c>
      <c r="C52" s="81" t="s">
        <v>66</v>
      </c>
      <c r="D52" s="47" t="s">
        <v>183</v>
      </c>
      <c r="E52" s="39"/>
      <c r="F52" s="89">
        <f t="shared" si="3"/>
        <v>9455500</v>
      </c>
      <c r="G52" s="89">
        <f>9275500+180000</f>
        <v>9455500</v>
      </c>
      <c r="H52" s="90">
        <v>6808700</v>
      </c>
      <c r="I52" s="90">
        <v>317200</v>
      </c>
      <c r="J52" s="90"/>
      <c r="K52" s="89">
        <v>0</v>
      </c>
      <c r="L52" s="89" t="s">
        <v>492</v>
      </c>
      <c r="M52" s="90"/>
      <c r="N52" s="89"/>
      <c r="O52" s="90"/>
      <c r="P52" s="90" t="str">
        <f>L52</f>
        <v xml:space="preserve"> </v>
      </c>
      <c r="Q52" s="89">
        <f>F52+K52</f>
        <v>9455500</v>
      </c>
      <c r="R52" s="57"/>
      <c r="S52" s="57"/>
      <c r="T52" s="56"/>
    </row>
    <row r="53" spans="1:20" s="4" customFormat="1" ht="41.45" customHeight="1">
      <c r="A53" s="78" t="s">
        <v>387</v>
      </c>
      <c r="B53" s="78" t="s">
        <v>388</v>
      </c>
      <c r="C53" s="81" t="s">
        <v>66</v>
      </c>
      <c r="D53" s="47" t="s">
        <v>217</v>
      </c>
      <c r="E53" s="39"/>
      <c r="F53" s="89">
        <f t="shared" si="3"/>
        <v>77150</v>
      </c>
      <c r="G53" s="89">
        <f>27150+50000</f>
        <v>77150</v>
      </c>
      <c r="H53" s="90"/>
      <c r="I53" s="90"/>
      <c r="J53" s="90"/>
      <c r="K53" s="89">
        <f t="shared" si="9"/>
        <v>0</v>
      </c>
      <c r="L53" s="89"/>
      <c r="M53" s="90"/>
      <c r="N53" s="89"/>
      <c r="O53" s="90"/>
      <c r="P53" s="90"/>
      <c r="Q53" s="89">
        <f t="shared" si="1"/>
        <v>77150</v>
      </c>
      <c r="R53" s="57"/>
      <c r="S53" s="57"/>
      <c r="T53" s="56"/>
    </row>
    <row r="54" spans="1:20" s="4" customFormat="1" ht="50.45" customHeight="1">
      <c r="A54" s="78" t="s">
        <v>118</v>
      </c>
      <c r="B54" s="78" t="s">
        <v>286</v>
      </c>
      <c r="C54" s="81"/>
      <c r="D54" s="47" t="s">
        <v>389</v>
      </c>
      <c r="E54" s="39"/>
      <c r="F54" s="89">
        <f>F55+F56</f>
        <v>2149200</v>
      </c>
      <c r="G54" s="89">
        <f t="shared" ref="G54:M54" si="12">G55+G56</f>
        <v>2149200</v>
      </c>
      <c r="H54" s="89">
        <f t="shared" si="12"/>
        <v>1322800</v>
      </c>
      <c r="I54" s="89">
        <f t="shared" si="12"/>
        <v>196800</v>
      </c>
      <c r="J54" s="89">
        <f t="shared" si="12"/>
        <v>0</v>
      </c>
      <c r="K54" s="89">
        <f t="shared" si="12"/>
        <v>0</v>
      </c>
      <c r="L54" s="89">
        <f t="shared" si="12"/>
        <v>0</v>
      </c>
      <c r="M54" s="89">
        <f t="shared" si="12"/>
        <v>0</v>
      </c>
      <c r="N54" s="89">
        <f t="shared" ref="N54" si="13">N55+N56</f>
        <v>0</v>
      </c>
      <c r="O54" s="89">
        <f t="shared" ref="O54" si="14">O55+O56</f>
        <v>0</v>
      </c>
      <c r="P54" s="89">
        <f t="shared" ref="P54" si="15">P55+P56</f>
        <v>0</v>
      </c>
      <c r="Q54" s="89">
        <f t="shared" si="1"/>
        <v>2149200</v>
      </c>
      <c r="R54" s="57"/>
      <c r="S54" s="57"/>
      <c r="T54" s="56"/>
    </row>
    <row r="55" spans="1:20" s="4" customFormat="1" ht="70.5" customHeight="1">
      <c r="A55" s="78" t="s">
        <v>390</v>
      </c>
      <c r="B55" s="78" t="s">
        <v>392</v>
      </c>
      <c r="C55" s="81" t="s">
        <v>66</v>
      </c>
      <c r="D55" s="128" t="s">
        <v>394</v>
      </c>
      <c r="E55" s="30"/>
      <c r="F55" s="89">
        <f t="shared" si="3"/>
        <v>762700</v>
      </c>
      <c r="G55" s="89">
        <v>762700</v>
      </c>
      <c r="H55" s="90">
        <v>186300</v>
      </c>
      <c r="I55" s="90">
        <v>196800</v>
      </c>
      <c r="J55" s="90"/>
      <c r="K55" s="89">
        <f t="shared" si="9"/>
        <v>0</v>
      </c>
      <c r="L55" s="89"/>
      <c r="M55" s="90"/>
      <c r="N55" s="89"/>
      <c r="O55" s="90"/>
      <c r="P55" s="90"/>
      <c r="Q55" s="89">
        <f t="shared" si="1"/>
        <v>762700</v>
      </c>
      <c r="R55" s="57"/>
      <c r="S55" s="57"/>
      <c r="T55" s="56"/>
    </row>
    <row r="56" spans="1:20" s="4" customFormat="1" ht="78" customHeight="1">
      <c r="A56" s="78" t="s">
        <v>391</v>
      </c>
      <c r="B56" s="78" t="s">
        <v>393</v>
      </c>
      <c r="C56" s="81" t="s">
        <v>66</v>
      </c>
      <c r="D56" s="128" t="s">
        <v>395</v>
      </c>
      <c r="E56" s="30"/>
      <c r="F56" s="89">
        <f t="shared" si="3"/>
        <v>1386500</v>
      </c>
      <c r="G56" s="89">
        <v>1386500</v>
      </c>
      <c r="H56" s="90">
        <v>1136500</v>
      </c>
      <c r="I56" s="90"/>
      <c r="J56" s="90"/>
      <c r="K56" s="89">
        <f t="shared" si="9"/>
        <v>0</v>
      </c>
      <c r="L56" s="89"/>
      <c r="M56" s="90"/>
      <c r="N56" s="89"/>
      <c r="O56" s="90"/>
      <c r="P56" s="90"/>
      <c r="Q56" s="89">
        <f t="shared" si="1"/>
        <v>1386500</v>
      </c>
      <c r="R56" s="57"/>
      <c r="S56" s="57"/>
      <c r="T56" s="56"/>
    </row>
    <row r="57" spans="1:20" s="4" customFormat="1" ht="110.25" customHeight="1">
      <c r="A57" s="78" t="s">
        <v>396</v>
      </c>
      <c r="B57" s="78" t="s">
        <v>397</v>
      </c>
      <c r="C57" s="78" t="s">
        <v>66</v>
      </c>
      <c r="D57" s="25" t="s">
        <v>398</v>
      </c>
      <c r="E57" s="30"/>
      <c r="F57" s="89">
        <f t="shared" si="3"/>
        <v>2490300</v>
      </c>
      <c r="G57" s="89">
        <v>2490300</v>
      </c>
      <c r="H57" s="90">
        <v>1701900</v>
      </c>
      <c r="I57" s="90">
        <v>224100</v>
      </c>
      <c r="J57" s="90"/>
      <c r="K57" s="89">
        <f t="shared" si="9"/>
        <v>0</v>
      </c>
      <c r="L57" s="89"/>
      <c r="M57" s="90"/>
      <c r="N57" s="89"/>
      <c r="O57" s="90"/>
      <c r="P57" s="90">
        <f t="shared" ref="P57:P60" si="16">L57</f>
        <v>0</v>
      </c>
      <c r="Q57" s="89">
        <f t="shared" si="1"/>
        <v>2490300</v>
      </c>
      <c r="R57" s="57"/>
      <c r="S57" s="57"/>
      <c r="T57" s="56"/>
    </row>
    <row r="58" spans="1:20" s="4" customFormat="1" ht="113.25" customHeight="1">
      <c r="A58" s="78" t="s">
        <v>399</v>
      </c>
      <c r="B58" s="78" t="s">
        <v>400</v>
      </c>
      <c r="C58" s="78"/>
      <c r="D58" s="50" t="s">
        <v>401</v>
      </c>
      <c r="E58" s="30"/>
      <c r="F58" s="89">
        <f>G58+J58</f>
        <v>1933585.9999999998</v>
      </c>
      <c r="G58" s="89">
        <f t="shared" ref="G58:J58" si="17">G59+G60</f>
        <v>1933585.9999999998</v>
      </c>
      <c r="H58" s="89">
        <f t="shared" si="17"/>
        <v>0</v>
      </c>
      <c r="I58" s="89">
        <f t="shared" si="17"/>
        <v>0</v>
      </c>
      <c r="J58" s="89">
        <f t="shared" si="17"/>
        <v>0</v>
      </c>
      <c r="K58" s="89">
        <f>M58+P58</f>
        <v>2069039</v>
      </c>
      <c r="L58" s="89">
        <f>L59+L60</f>
        <v>2069039</v>
      </c>
      <c r="M58" s="89">
        <f t="shared" ref="M58:O58" si="18">M59+M60</f>
        <v>0</v>
      </c>
      <c r="N58" s="89">
        <f t="shared" si="18"/>
        <v>0</v>
      </c>
      <c r="O58" s="89">
        <f t="shared" si="18"/>
        <v>0</v>
      </c>
      <c r="P58" s="90">
        <f t="shared" si="16"/>
        <v>2069039</v>
      </c>
      <c r="Q58" s="89">
        <f t="shared" si="1"/>
        <v>4002625</v>
      </c>
      <c r="R58" s="57"/>
      <c r="S58" s="57"/>
      <c r="T58" s="56"/>
    </row>
    <row r="59" spans="1:20" s="4" customFormat="1" ht="166.5" customHeight="1">
      <c r="A59" s="78" t="s">
        <v>465</v>
      </c>
      <c r="B59" s="78" t="s">
        <v>466</v>
      </c>
      <c r="C59" s="78" t="s">
        <v>66</v>
      </c>
      <c r="D59" s="47" t="s">
        <v>469</v>
      </c>
      <c r="E59" s="30"/>
      <c r="F59" s="89">
        <f t="shared" ref="F59:F60" si="19">G59+J59</f>
        <v>386717.19999999995</v>
      </c>
      <c r="G59" s="89">
        <f>239204.4+131512.8+16000</f>
        <v>386717.19999999995</v>
      </c>
      <c r="H59" s="90"/>
      <c r="I59" s="90"/>
      <c r="J59" s="90"/>
      <c r="K59" s="89">
        <f t="shared" si="9"/>
        <v>413807.8</v>
      </c>
      <c r="L59" s="89">
        <f>561320.6-131512.8-16000</f>
        <v>413807.8</v>
      </c>
      <c r="M59" s="90"/>
      <c r="N59" s="89"/>
      <c r="O59" s="90"/>
      <c r="P59" s="90">
        <f t="shared" si="16"/>
        <v>413807.8</v>
      </c>
      <c r="Q59" s="89">
        <f t="shared" si="1"/>
        <v>800525</v>
      </c>
      <c r="R59" s="57"/>
      <c r="S59" s="57"/>
      <c r="T59" s="56"/>
    </row>
    <row r="60" spans="1:20" s="4" customFormat="1" ht="162.75" customHeight="1">
      <c r="A60" s="78" t="s">
        <v>467</v>
      </c>
      <c r="B60" s="78" t="s">
        <v>468</v>
      </c>
      <c r="C60" s="78" t="s">
        <v>66</v>
      </c>
      <c r="D60" s="47" t="s">
        <v>470</v>
      </c>
      <c r="E60" s="30"/>
      <c r="F60" s="89">
        <f t="shared" si="19"/>
        <v>1546868.7999999998</v>
      </c>
      <c r="G60" s="89">
        <f>673264+283553.6+526051.2+64000</f>
        <v>1546868.7999999998</v>
      </c>
      <c r="H60" s="90"/>
      <c r="I60" s="90"/>
      <c r="J60" s="90"/>
      <c r="K60" s="89">
        <f t="shared" si="9"/>
        <v>1655231.2</v>
      </c>
      <c r="L60" s="89">
        <f>3202100-673264-283553.6-526051.2-64000</f>
        <v>1655231.2</v>
      </c>
      <c r="M60" s="90"/>
      <c r="N60" s="89"/>
      <c r="O60" s="90"/>
      <c r="P60" s="90">
        <f t="shared" si="16"/>
        <v>1655231.2</v>
      </c>
      <c r="Q60" s="89">
        <f t="shared" si="1"/>
        <v>3202100</v>
      </c>
      <c r="R60" s="57"/>
      <c r="S60" s="57"/>
      <c r="T60" s="56"/>
    </row>
    <row r="61" spans="1:20" s="4" customFormat="1" ht="184.5" customHeight="1">
      <c r="A61" s="78" t="s">
        <v>403</v>
      </c>
      <c r="B61" s="78" t="s">
        <v>402</v>
      </c>
      <c r="C61" s="78" t="s">
        <v>66</v>
      </c>
      <c r="D61" s="47" t="s">
        <v>464</v>
      </c>
      <c r="E61" s="30"/>
      <c r="F61" s="89">
        <f t="shared" si="3"/>
        <v>328600</v>
      </c>
      <c r="G61" s="89">
        <v>328600</v>
      </c>
      <c r="H61" s="90">
        <v>269350</v>
      </c>
      <c r="I61" s="90"/>
      <c r="J61" s="90"/>
      <c r="K61" s="89">
        <f t="shared" si="9"/>
        <v>0</v>
      </c>
      <c r="L61" s="89"/>
      <c r="M61" s="90"/>
      <c r="N61" s="89"/>
      <c r="O61" s="90"/>
      <c r="P61" s="90"/>
      <c r="Q61" s="89">
        <f t="shared" si="1"/>
        <v>328600</v>
      </c>
      <c r="R61" s="57"/>
      <c r="S61" s="57"/>
      <c r="T61" s="56"/>
    </row>
    <row r="62" spans="1:20" s="4" customFormat="1" ht="241.5" customHeight="1">
      <c r="A62" s="78" t="s">
        <v>515</v>
      </c>
      <c r="B62" s="78" t="s">
        <v>516</v>
      </c>
      <c r="C62" s="78" t="s">
        <v>66</v>
      </c>
      <c r="D62" s="134" t="s">
        <v>517</v>
      </c>
      <c r="E62" s="30"/>
      <c r="F62" s="89">
        <f t="shared" si="3"/>
        <v>900962</v>
      </c>
      <c r="G62" s="89">
        <v>900962</v>
      </c>
      <c r="H62" s="90"/>
      <c r="I62" s="90"/>
      <c r="J62" s="90"/>
      <c r="K62" s="89">
        <f t="shared" si="9"/>
        <v>1237564</v>
      </c>
      <c r="L62" s="89">
        <v>1237564</v>
      </c>
      <c r="M62" s="90"/>
      <c r="N62" s="89"/>
      <c r="O62" s="90"/>
      <c r="P62" s="90">
        <f>L62</f>
        <v>1237564</v>
      </c>
      <c r="Q62" s="89">
        <f t="shared" si="1"/>
        <v>2138526</v>
      </c>
      <c r="R62" s="57"/>
      <c r="S62" s="57"/>
      <c r="T62" s="56"/>
    </row>
    <row r="63" spans="1:20" s="4" customFormat="1" ht="233.25" customHeight="1">
      <c r="A63" s="78" t="s">
        <v>518</v>
      </c>
      <c r="B63" s="78" t="s">
        <v>519</v>
      </c>
      <c r="C63" s="78" t="s">
        <v>66</v>
      </c>
      <c r="D63" s="47" t="s">
        <v>520</v>
      </c>
      <c r="E63" s="30"/>
      <c r="F63" s="89">
        <f t="shared" si="3"/>
        <v>900962</v>
      </c>
      <c r="G63" s="89">
        <v>900962</v>
      </c>
      <c r="H63" s="90"/>
      <c r="I63" s="90"/>
      <c r="J63" s="90"/>
      <c r="K63" s="89">
        <f t="shared" si="9"/>
        <v>1237564</v>
      </c>
      <c r="L63" s="89">
        <v>1237564</v>
      </c>
      <c r="M63" s="90"/>
      <c r="N63" s="89"/>
      <c r="O63" s="90"/>
      <c r="P63" s="90">
        <f t="shared" ref="P63:P68" si="20">L63</f>
        <v>1237564</v>
      </c>
      <c r="Q63" s="89">
        <f t="shared" si="1"/>
        <v>2138526</v>
      </c>
      <c r="R63" s="57"/>
      <c r="S63" s="57"/>
      <c r="T63" s="56"/>
    </row>
    <row r="64" spans="1:20" s="4" customFormat="1" ht="248.25" customHeight="1">
      <c r="A64" s="78" t="s">
        <v>505</v>
      </c>
      <c r="B64" s="78" t="s">
        <v>506</v>
      </c>
      <c r="C64" s="78" t="s">
        <v>66</v>
      </c>
      <c r="D64" s="47" t="s">
        <v>507</v>
      </c>
      <c r="E64" s="30"/>
      <c r="F64" s="89">
        <f t="shared" si="3"/>
        <v>0</v>
      </c>
      <c r="G64" s="89"/>
      <c r="H64" s="90"/>
      <c r="I64" s="90"/>
      <c r="J64" s="90"/>
      <c r="K64" s="89">
        <f t="shared" si="9"/>
        <v>5910938</v>
      </c>
      <c r="L64" s="89">
        <v>5910938</v>
      </c>
      <c r="M64" s="90"/>
      <c r="N64" s="89"/>
      <c r="O64" s="90"/>
      <c r="P64" s="90">
        <f t="shared" si="20"/>
        <v>5910938</v>
      </c>
      <c r="Q64" s="89">
        <f t="shared" si="1"/>
        <v>5910938</v>
      </c>
      <c r="R64" s="57"/>
      <c r="S64" s="57"/>
      <c r="T64" s="56"/>
    </row>
    <row r="65" spans="1:20" s="4" customFormat="1" ht="227.25" customHeight="1">
      <c r="A65" s="78" t="s">
        <v>495</v>
      </c>
      <c r="B65" s="78" t="s">
        <v>496</v>
      </c>
      <c r="C65" s="78" t="s">
        <v>66</v>
      </c>
      <c r="D65" s="47" t="s">
        <v>497</v>
      </c>
      <c r="E65" s="30"/>
      <c r="F65" s="89">
        <f t="shared" si="3"/>
        <v>0</v>
      </c>
      <c r="G65" s="89"/>
      <c r="H65" s="90"/>
      <c r="I65" s="90"/>
      <c r="J65" s="90"/>
      <c r="K65" s="89">
        <f t="shared" si="9"/>
        <v>23525108</v>
      </c>
      <c r="L65" s="89">
        <v>23525108</v>
      </c>
      <c r="M65" s="90"/>
      <c r="N65" s="89"/>
      <c r="O65" s="90"/>
      <c r="P65" s="90">
        <f t="shared" si="20"/>
        <v>23525108</v>
      </c>
      <c r="Q65" s="89">
        <f t="shared" si="1"/>
        <v>23525108</v>
      </c>
      <c r="R65" s="57"/>
      <c r="S65" s="57"/>
      <c r="T65" s="56"/>
    </row>
    <row r="66" spans="1:20" s="4" customFormat="1" ht="196.5" customHeight="1">
      <c r="A66" s="78" t="s">
        <v>486</v>
      </c>
      <c r="B66" s="78" t="s">
        <v>487</v>
      </c>
      <c r="C66" s="78" t="s">
        <v>66</v>
      </c>
      <c r="D66" s="47" t="s">
        <v>509</v>
      </c>
      <c r="E66" s="30"/>
      <c r="F66" s="89">
        <f t="shared" si="3"/>
        <v>1798</v>
      </c>
      <c r="G66" s="89">
        <v>1798</v>
      </c>
      <c r="H66" s="90"/>
      <c r="I66" s="90"/>
      <c r="J66" s="90"/>
      <c r="K66" s="89">
        <f t="shared" si="9"/>
        <v>10971</v>
      </c>
      <c r="L66" s="89">
        <v>10971</v>
      </c>
      <c r="M66" s="90"/>
      <c r="N66" s="89"/>
      <c r="O66" s="90"/>
      <c r="P66" s="90">
        <f t="shared" si="20"/>
        <v>10971</v>
      </c>
      <c r="Q66" s="89">
        <f t="shared" si="1"/>
        <v>12769</v>
      </c>
      <c r="R66" s="57"/>
      <c r="S66" s="57"/>
      <c r="T66" s="56"/>
    </row>
    <row r="67" spans="1:20" s="4" customFormat="1" ht="177.75" customHeight="1">
      <c r="A67" s="78" t="s">
        <v>475</v>
      </c>
      <c r="B67" s="78" t="s">
        <v>476</v>
      </c>
      <c r="C67" s="78" t="s">
        <v>66</v>
      </c>
      <c r="D67" s="47" t="s">
        <v>477</v>
      </c>
      <c r="E67" s="30"/>
      <c r="F67" s="89">
        <f t="shared" si="3"/>
        <v>0</v>
      </c>
      <c r="G67" s="89"/>
      <c r="H67" s="90"/>
      <c r="I67" s="90"/>
      <c r="J67" s="90"/>
      <c r="K67" s="89">
        <f t="shared" si="9"/>
        <v>29794.12</v>
      </c>
      <c r="L67" s="89">
        <v>25599.01</v>
      </c>
      <c r="M67" s="90">
        <v>4195.1099999999997</v>
      </c>
      <c r="N67" s="89"/>
      <c r="O67" s="90"/>
      <c r="P67" s="90">
        <f t="shared" si="20"/>
        <v>25599.01</v>
      </c>
      <c r="Q67" s="89">
        <f t="shared" si="1"/>
        <v>29794.12</v>
      </c>
      <c r="R67" s="57"/>
      <c r="S67" s="57"/>
      <c r="T67" s="56"/>
    </row>
    <row r="68" spans="1:20" s="4" customFormat="1" ht="52.5" customHeight="1">
      <c r="A68" s="78" t="s">
        <v>440</v>
      </c>
      <c r="B68" s="78" t="s">
        <v>441</v>
      </c>
      <c r="C68" s="78" t="s">
        <v>66</v>
      </c>
      <c r="D68" s="25" t="s">
        <v>444</v>
      </c>
      <c r="E68" s="30"/>
      <c r="F68" s="89">
        <f t="shared" ref="F68:F128" si="21">G68+J68</f>
        <v>0</v>
      </c>
      <c r="G68" s="89"/>
      <c r="H68" s="90"/>
      <c r="I68" s="90"/>
      <c r="J68" s="90"/>
      <c r="K68" s="89">
        <f>M68+P68</f>
        <v>98000</v>
      </c>
      <c r="L68" s="89">
        <f>98000</f>
        <v>98000</v>
      </c>
      <c r="M68" s="90"/>
      <c r="N68" s="89"/>
      <c r="O68" s="90"/>
      <c r="P68" s="90">
        <f t="shared" si="20"/>
        <v>98000</v>
      </c>
      <c r="Q68" s="89">
        <f>F68+K68</f>
        <v>98000</v>
      </c>
      <c r="R68" s="57"/>
      <c r="S68" s="57"/>
      <c r="T68" s="56"/>
    </row>
    <row r="69" spans="1:20" s="4" customFormat="1" ht="125.25" customHeight="1">
      <c r="A69" s="78" t="s">
        <v>471</v>
      </c>
      <c r="B69" s="78" t="s">
        <v>472</v>
      </c>
      <c r="C69" s="78" t="s">
        <v>66</v>
      </c>
      <c r="D69" s="25" t="s">
        <v>473</v>
      </c>
      <c r="E69" s="30"/>
      <c r="F69" s="89">
        <f t="shared" si="21"/>
        <v>0</v>
      </c>
      <c r="G69" s="89"/>
      <c r="H69" s="90"/>
      <c r="I69" s="90"/>
      <c r="J69" s="90"/>
      <c r="K69" s="89">
        <f>M69+P69</f>
        <v>5983700</v>
      </c>
      <c r="L69" s="89"/>
      <c r="M69" s="90">
        <v>5983700</v>
      </c>
      <c r="N69" s="89"/>
      <c r="O69" s="90"/>
      <c r="P69" s="90"/>
      <c r="Q69" s="89">
        <f>F69+K69</f>
        <v>5983700</v>
      </c>
      <c r="R69" s="57"/>
      <c r="S69" s="57"/>
      <c r="T69" s="56"/>
    </row>
    <row r="70" spans="1:20" s="4" customFormat="1" ht="131.25" customHeight="1">
      <c r="A70" s="78" t="s">
        <v>459</v>
      </c>
      <c r="B70" s="78" t="s">
        <v>460</v>
      </c>
      <c r="C70" s="78" t="s">
        <v>66</v>
      </c>
      <c r="D70" s="25" t="s">
        <v>461</v>
      </c>
      <c r="E70" s="30"/>
      <c r="F70" s="89">
        <f t="shared" si="21"/>
        <v>6906500</v>
      </c>
      <c r="G70" s="89">
        <f>6410200+496300</f>
        <v>6906500</v>
      </c>
      <c r="H70" s="93">
        <f>5254200+409500</f>
        <v>5663700</v>
      </c>
      <c r="I70" s="93"/>
      <c r="J70" s="93"/>
      <c r="K70" s="89">
        <f t="shared" ref="K70:K71" si="22">M70+P70</f>
        <v>0</v>
      </c>
      <c r="L70" s="92"/>
      <c r="M70" s="93"/>
      <c r="N70" s="92"/>
      <c r="O70" s="93"/>
      <c r="P70" s="93"/>
      <c r="Q70" s="89">
        <f t="shared" ref="Q70:Q71" si="23">F70+K70</f>
        <v>6906500</v>
      </c>
      <c r="R70" s="57"/>
      <c r="S70" s="57"/>
      <c r="T70" s="56"/>
    </row>
    <row r="71" spans="1:20" s="4" customFormat="1" ht="142.5" customHeight="1">
      <c r="A71" s="78" t="s">
        <v>462</v>
      </c>
      <c r="B71" s="78" t="s">
        <v>463</v>
      </c>
      <c r="C71" s="78" t="s">
        <v>66</v>
      </c>
      <c r="D71" s="25" t="s">
        <v>474</v>
      </c>
      <c r="E71" s="30"/>
      <c r="F71" s="89">
        <f t="shared" si="21"/>
        <v>0</v>
      </c>
      <c r="G71" s="89"/>
      <c r="H71" s="93"/>
      <c r="I71" s="93"/>
      <c r="J71" s="93"/>
      <c r="K71" s="89">
        <f t="shared" si="22"/>
        <v>1064000</v>
      </c>
      <c r="L71" s="92"/>
      <c r="M71" s="93">
        <f>525700+525700+12600</f>
        <v>1064000</v>
      </c>
      <c r="N71" s="92"/>
      <c r="O71" s="93"/>
      <c r="P71" s="93"/>
      <c r="Q71" s="89">
        <f t="shared" si="23"/>
        <v>1064000</v>
      </c>
      <c r="R71" s="57"/>
      <c r="S71" s="57"/>
      <c r="T71" s="56"/>
    </row>
    <row r="72" spans="1:20" s="4" customFormat="1" ht="55.35" customHeight="1">
      <c r="A72" s="78" t="s">
        <v>350</v>
      </c>
      <c r="B72" s="78" t="s">
        <v>343</v>
      </c>
      <c r="C72" s="78" t="s">
        <v>344</v>
      </c>
      <c r="D72" s="25" t="s">
        <v>345</v>
      </c>
      <c r="E72" s="30"/>
      <c r="F72" s="89">
        <f t="shared" si="21"/>
        <v>837600</v>
      </c>
      <c r="G72" s="89">
        <f>739600+70000+3000+25000</f>
        <v>837600</v>
      </c>
      <c r="H72" s="93"/>
      <c r="I72" s="93"/>
      <c r="J72" s="93"/>
      <c r="K72" s="89">
        <f t="shared" si="9"/>
        <v>140000</v>
      </c>
      <c r="L72" s="92">
        <f>40000+100000</f>
        <v>140000</v>
      </c>
      <c r="M72" s="92"/>
      <c r="N72" s="92"/>
      <c r="O72" s="93"/>
      <c r="P72" s="93">
        <f>L72</f>
        <v>140000</v>
      </c>
      <c r="Q72" s="89">
        <f>F72+K72</f>
        <v>977600</v>
      </c>
      <c r="R72" s="57"/>
      <c r="S72" s="57"/>
      <c r="T72" s="56"/>
    </row>
    <row r="73" spans="1:20" s="4" customFormat="1" ht="42.75" customHeight="1">
      <c r="A73" s="85" t="s">
        <v>233</v>
      </c>
      <c r="B73" s="78" t="s">
        <v>282</v>
      </c>
      <c r="C73" s="85" t="s">
        <v>76</v>
      </c>
      <c r="D73" s="35" t="s">
        <v>110</v>
      </c>
      <c r="E73" s="39"/>
      <c r="F73" s="89">
        <f t="shared" si="21"/>
        <v>0</v>
      </c>
      <c r="G73" s="89"/>
      <c r="H73" s="90"/>
      <c r="I73" s="90"/>
      <c r="J73" s="90"/>
      <c r="K73" s="89">
        <f t="shared" si="9"/>
        <v>500000</v>
      </c>
      <c r="L73" s="89">
        <f>500000</f>
        <v>500000</v>
      </c>
      <c r="M73" s="90"/>
      <c r="N73" s="89"/>
      <c r="O73" s="90"/>
      <c r="P73" s="90">
        <f>L73</f>
        <v>500000</v>
      </c>
      <c r="Q73" s="89">
        <f t="shared" si="1"/>
        <v>500000</v>
      </c>
      <c r="R73" s="57"/>
      <c r="S73" s="57"/>
      <c r="T73" s="56"/>
    </row>
    <row r="74" spans="1:20" s="4" customFormat="1" ht="51" hidden="1" customHeight="1">
      <c r="A74" s="78" t="s">
        <v>266</v>
      </c>
      <c r="B74" s="78" t="s">
        <v>285</v>
      </c>
      <c r="C74" s="78" t="s">
        <v>61</v>
      </c>
      <c r="D74" s="25" t="s">
        <v>215</v>
      </c>
      <c r="E74" s="2"/>
      <c r="F74" s="89">
        <f t="shared" si="21"/>
        <v>0</v>
      </c>
      <c r="G74" s="89"/>
      <c r="H74" s="90"/>
      <c r="I74" s="90"/>
      <c r="J74" s="90"/>
      <c r="K74" s="89">
        <f t="shared" ref="K74" si="24">M74+P74</f>
        <v>0</v>
      </c>
      <c r="L74" s="89"/>
      <c r="M74" s="90"/>
      <c r="N74" s="89"/>
      <c r="O74" s="90"/>
      <c r="P74" s="90"/>
      <c r="Q74" s="89">
        <f t="shared" si="1"/>
        <v>0</v>
      </c>
      <c r="R74" s="57"/>
      <c r="S74" s="57"/>
      <c r="T74" s="56"/>
    </row>
    <row r="75" spans="1:20" s="12" customFormat="1" ht="87" customHeight="1">
      <c r="A75" s="65" t="s">
        <v>125</v>
      </c>
      <c r="B75" s="65" t="s">
        <v>125</v>
      </c>
      <c r="C75" s="71"/>
      <c r="D75" s="70" t="s">
        <v>360</v>
      </c>
      <c r="E75" s="69" t="s">
        <v>29</v>
      </c>
      <c r="F75" s="111">
        <f t="shared" si="21"/>
        <v>73905164</v>
      </c>
      <c r="G75" s="68">
        <f t="shared" ref="G75:P75" si="25">G76</f>
        <v>73905164</v>
      </c>
      <c r="H75" s="68">
        <f t="shared" si="25"/>
        <v>38734212</v>
      </c>
      <c r="I75" s="68">
        <f t="shared" si="25"/>
        <v>1837600</v>
      </c>
      <c r="J75" s="68">
        <f t="shared" si="25"/>
        <v>0</v>
      </c>
      <c r="K75" s="68">
        <f t="shared" si="25"/>
        <v>13813837</v>
      </c>
      <c r="L75" s="68">
        <f t="shared" si="25"/>
        <v>13543837</v>
      </c>
      <c r="M75" s="68">
        <f t="shared" si="25"/>
        <v>270000</v>
      </c>
      <c r="N75" s="68">
        <f t="shared" si="25"/>
        <v>197000</v>
      </c>
      <c r="O75" s="68">
        <f t="shared" si="25"/>
        <v>0</v>
      </c>
      <c r="P75" s="68">
        <f t="shared" si="25"/>
        <v>13543837</v>
      </c>
      <c r="Q75" s="68">
        <f t="shared" si="1"/>
        <v>87719001</v>
      </c>
      <c r="R75" s="54"/>
      <c r="S75" s="58"/>
      <c r="T75" s="53"/>
    </row>
    <row r="76" spans="1:20" s="12" customFormat="1" ht="58.7" customHeight="1">
      <c r="A76" s="82" t="s">
        <v>126</v>
      </c>
      <c r="B76" s="82" t="s">
        <v>126</v>
      </c>
      <c r="C76" s="78"/>
      <c r="D76" s="31" t="str">
        <f>D75</f>
        <v>Управління  соціального захисту населення  міської ради</v>
      </c>
      <c r="E76" s="28"/>
      <c r="F76" s="89">
        <f>G76+J76</f>
        <v>73905164</v>
      </c>
      <c r="G76" s="89">
        <f>SUM(G77:G111)+G113</f>
        <v>73905164</v>
      </c>
      <c r="H76" s="89">
        <f t="shared" ref="H76:P76" si="26">SUM(H77:H111)</f>
        <v>38734212</v>
      </c>
      <c r="I76" s="89">
        <f t="shared" si="26"/>
        <v>1837600</v>
      </c>
      <c r="J76" s="89">
        <f t="shared" si="26"/>
        <v>0</v>
      </c>
      <c r="K76" s="89">
        <f t="shared" si="26"/>
        <v>13813837</v>
      </c>
      <c r="L76" s="89">
        <f t="shared" si="26"/>
        <v>13543837</v>
      </c>
      <c r="M76" s="89">
        <f t="shared" si="26"/>
        <v>270000</v>
      </c>
      <c r="N76" s="89">
        <f t="shared" si="26"/>
        <v>197000</v>
      </c>
      <c r="O76" s="89">
        <f t="shared" si="26"/>
        <v>0</v>
      </c>
      <c r="P76" s="89">
        <f t="shared" si="26"/>
        <v>13543837</v>
      </c>
      <c r="Q76" s="89">
        <f t="shared" si="1"/>
        <v>87719001</v>
      </c>
      <c r="R76" s="58"/>
      <c r="S76" s="58"/>
      <c r="T76" s="53"/>
    </row>
    <row r="77" spans="1:20" s="4" customFormat="1" ht="82.15" customHeight="1">
      <c r="A77" s="78" t="s">
        <v>127</v>
      </c>
      <c r="B77" s="78" t="s">
        <v>268</v>
      </c>
      <c r="C77" s="78" t="s">
        <v>53</v>
      </c>
      <c r="D77" s="33" t="s">
        <v>375</v>
      </c>
      <c r="E77" s="30" t="s">
        <v>2</v>
      </c>
      <c r="F77" s="89">
        <f t="shared" si="21"/>
        <v>27456160</v>
      </c>
      <c r="G77" s="90">
        <f>20754000+6700000+2160</f>
        <v>27456160</v>
      </c>
      <c r="H77" s="90">
        <f>16358000+5500000</f>
        <v>21858000</v>
      </c>
      <c r="I77" s="90">
        <v>641000</v>
      </c>
      <c r="J77" s="90"/>
      <c r="K77" s="90">
        <f>M77+P77</f>
        <v>40000</v>
      </c>
      <c r="L77" s="90">
        <f>40000</f>
        <v>40000</v>
      </c>
      <c r="M77" s="90"/>
      <c r="N77" s="90"/>
      <c r="O77" s="90"/>
      <c r="P77" s="89">
        <f>L77</f>
        <v>40000</v>
      </c>
      <c r="Q77" s="90">
        <f>F77+K77</f>
        <v>27496160</v>
      </c>
      <c r="R77" s="57"/>
      <c r="S77" s="57"/>
      <c r="T77" s="56"/>
    </row>
    <row r="78" spans="1:20" s="4" customFormat="1" ht="49.9" customHeight="1">
      <c r="A78" s="78" t="s">
        <v>145</v>
      </c>
      <c r="B78" s="78" t="s">
        <v>225</v>
      </c>
      <c r="C78" s="78" t="s">
        <v>62</v>
      </c>
      <c r="D78" s="33" t="s">
        <v>109</v>
      </c>
      <c r="E78" s="30"/>
      <c r="F78" s="89">
        <f t="shared" si="21"/>
        <v>118224</v>
      </c>
      <c r="G78" s="90">
        <f>90000+4000+13626+10598</f>
        <v>118224</v>
      </c>
      <c r="H78" s="90"/>
      <c r="I78" s="90"/>
      <c r="J78" s="90"/>
      <c r="K78" s="89">
        <f t="shared" ref="K78:K86" si="27">M78+P78</f>
        <v>0</v>
      </c>
      <c r="L78" s="89"/>
      <c r="M78" s="90"/>
      <c r="N78" s="90"/>
      <c r="O78" s="90"/>
      <c r="P78" s="90"/>
      <c r="Q78" s="89">
        <f t="shared" si="1"/>
        <v>118224</v>
      </c>
      <c r="R78" s="57"/>
      <c r="S78" s="57"/>
      <c r="T78" s="56"/>
    </row>
    <row r="79" spans="1:20" s="12" customFormat="1" ht="53.45" hidden="1" customHeight="1">
      <c r="A79" s="71" t="s">
        <v>128</v>
      </c>
      <c r="B79" s="78" t="s">
        <v>288</v>
      </c>
      <c r="C79" s="78" t="s">
        <v>68</v>
      </c>
      <c r="D79" s="25" t="s">
        <v>129</v>
      </c>
      <c r="E79" s="30" t="s">
        <v>26</v>
      </c>
      <c r="F79" s="89">
        <f t="shared" si="21"/>
        <v>0</v>
      </c>
      <c r="G79" s="68"/>
      <c r="H79" s="89"/>
      <c r="I79" s="89"/>
      <c r="J79" s="89"/>
      <c r="K79" s="89">
        <f t="shared" si="27"/>
        <v>0</v>
      </c>
      <c r="L79" s="89"/>
      <c r="M79" s="89"/>
      <c r="N79" s="89"/>
      <c r="O79" s="89"/>
      <c r="P79" s="89"/>
      <c r="Q79" s="89">
        <f t="shared" si="1"/>
        <v>0</v>
      </c>
      <c r="R79" s="58"/>
      <c r="S79" s="58"/>
      <c r="T79" s="53"/>
    </row>
    <row r="80" spans="1:20" s="12" customFormat="1" ht="40.700000000000003" hidden="1" customHeight="1">
      <c r="A80" s="71" t="s">
        <v>132</v>
      </c>
      <c r="B80" s="78" t="s">
        <v>289</v>
      </c>
      <c r="C80" s="78" t="s">
        <v>70</v>
      </c>
      <c r="D80" s="25" t="s">
        <v>91</v>
      </c>
      <c r="E80" s="30" t="s">
        <v>20</v>
      </c>
      <c r="F80" s="89">
        <f t="shared" si="21"/>
        <v>0</v>
      </c>
      <c r="G80" s="68"/>
      <c r="H80" s="89"/>
      <c r="I80" s="89"/>
      <c r="J80" s="89"/>
      <c r="K80" s="89">
        <f t="shared" si="27"/>
        <v>0</v>
      </c>
      <c r="L80" s="89"/>
      <c r="M80" s="89"/>
      <c r="N80" s="89"/>
      <c r="O80" s="89"/>
      <c r="P80" s="89"/>
      <c r="Q80" s="89">
        <f>F80+K80</f>
        <v>0</v>
      </c>
      <c r="R80" s="58"/>
      <c r="S80" s="58"/>
      <c r="T80" s="53"/>
    </row>
    <row r="81" spans="1:20" s="12" customFormat="1" ht="64.5" hidden="1" customHeight="1">
      <c r="A81" s="71" t="s">
        <v>130</v>
      </c>
      <c r="B81" s="78" t="s">
        <v>290</v>
      </c>
      <c r="C81" s="78" t="s">
        <v>68</v>
      </c>
      <c r="D81" s="25" t="s">
        <v>131</v>
      </c>
      <c r="E81" s="40" t="s">
        <v>17</v>
      </c>
      <c r="F81" s="89">
        <f t="shared" si="21"/>
        <v>0</v>
      </c>
      <c r="G81" s="68"/>
      <c r="H81" s="89"/>
      <c r="I81" s="89"/>
      <c r="J81" s="89"/>
      <c r="K81" s="89">
        <f t="shared" si="27"/>
        <v>0</v>
      </c>
      <c r="L81" s="89"/>
      <c r="M81" s="89"/>
      <c r="N81" s="89"/>
      <c r="O81" s="89"/>
      <c r="P81" s="89"/>
      <c r="Q81" s="89">
        <f t="shared" ref="Q81" si="28">F81+K81</f>
        <v>0</v>
      </c>
      <c r="R81" s="58"/>
      <c r="S81" s="58"/>
      <c r="T81" s="53"/>
    </row>
    <row r="82" spans="1:20" s="12" customFormat="1" ht="57.2" hidden="1" customHeight="1">
      <c r="A82" s="71" t="s">
        <v>133</v>
      </c>
      <c r="B82" s="78" t="s">
        <v>291</v>
      </c>
      <c r="C82" s="78" t="s">
        <v>70</v>
      </c>
      <c r="D82" s="25" t="s">
        <v>92</v>
      </c>
      <c r="E82" s="30" t="s">
        <v>38</v>
      </c>
      <c r="F82" s="89">
        <f t="shared" si="21"/>
        <v>0</v>
      </c>
      <c r="G82" s="68"/>
      <c r="H82" s="89"/>
      <c r="I82" s="89"/>
      <c r="J82" s="89"/>
      <c r="K82" s="89">
        <f t="shared" si="27"/>
        <v>0</v>
      </c>
      <c r="L82" s="89"/>
      <c r="M82" s="89"/>
      <c r="N82" s="89"/>
      <c r="O82" s="89"/>
      <c r="P82" s="89"/>
      <c r="Q82" s="89">
        <f t="shared" ref="Q82:Q86" si="29">F82+K82</f>
        <v>0</v>
      </c>
      <c r="R82" s="58"/>
      <c r="S82" s="58"/>
      <c r="T82" s="53"/>
    </row>
    <row r="83" spans="1:20" s="12" customFormat="1" ht="33" hidden="1" customHeight="1">
      <c r="A83" s="78" t="s">
        <v>172</v>
      </c>
      <c r="B83" s="78" t="s">
        <v>292</v>
      </c>
      <c r="C83" s="78" t="s">
        <v>68</v>
      </c>
      <c r="D83" s="35" t="s">
        <v>177</v>
      </c>
      <c r="E83" s="30"/>
      <c r="F83" s="89">
        <f t="shared" si="21"/>
        <v>0</v>
      </c>
      <c r="G83" s="89"/>
      <c r="H83" s="89"/>
      <c r="I83" s="89"/>
      <c r="J83" s="89"/>
      <c r="K83" s="89">
        <f t="shared" si="27"/>
        <v>0</v>
      </c>
      <c r="L83" s="89"/>
      <c r="M83" s="89"/>
      <c r="N83" s="89"/>
      <c r="O83" s="89"/>
      <c r="P83" s="89"/>
      <c r="Q83" s="89">
        <f t="shared" si="29"/>
        <v>0</v>
      </c>
      <c r="R83" s="58"/>
      <c r="S83" s="58"/>
      <c r="T83" s="53"/>
    </row>
    <row r="84" spans="1:20" s="12" customFormat="1" ht="49.15" customHeight="1">
      <c r="A84" s="78" t="s">
        <v>173</v>
      </c>
      <c r="B84" s="78" t="s">
        <v>293</v>
      </c>
      <c r="C84" s="78" t="s">
        <v>69</v>
      </c>
      <c r="D84" s="35" t="s">
        <v>239</v>
      </c>
      <c r="E84" s="30"/>
      <c r="F84" s="89">
        <f t="shared" si="21"/>
        <v>66000</v>
      </c>
      <c r="G84" s="89">
        <v>66000</v>
      </c>
      <c r="H84" s="89"/>
      <c r="I84" s="89"/>
      <c r="J84" s="89"/>
      <c r="K84" s="89">
        <f t="shared" si="27"/>
        <v>0</v>
      </c>
      <c r="L84" s="89"/>
      <c r="M84" s="89"/>
      <c r="N84" s="89"/>
      <c r="O84" s="89"/>
      <c r="P84" s="89"/>
      <c r="Q84" s="89">
        <f t="shared" si="29"/>
        <v>66000</v>
      </c>
      <c r="R84" s="58"/>
      <c r="S84" s="58"/>
      <c r="T84" s="53"/>
    </row>
    <row r="85" spans="1:20" s="12" customFormat="1" ht="73.900000000000006" customHeight="1">
      <c r="A85" s="78" t="s">
        <v>174</v>
      </c>
      <c r="B85" s="78" t="s">
        <v>294</v>
      </c>
      <c r="C85" s="78" t="s">
        <v>69</v>
      </c>
      <c r="D85" s="35" t="s">
        <v>176</v>
      </c>
      <c r="E85" s="30"/>
      <c r="F85" s="89">
        <f t="shared" si="21"/>
        <v>5600000</v>
      </c>
      <c r="G85" s="89">
        <f>2000000+2800000+250000+550000</f>
        <v>5600000</v>
      </c>
      <c r="H85" s="89"/>
      <c r="I85" s="89"/>
      <c r="J85" s="89"/>
      <c r="K85" s="89">
        <f t="shared" si="27"/>
        <v>0</v>
      </c>
      <c r="L85" s="89"/>
      <c r="M85" s="89"/>
      <c r="N85" s="89"/>
      <c r="O85" s="89"/>
      <c r="P85" s="89"/>
      <c r="Q85" s="89">
        <f t="shared" si="29"/>
        <v>5600000</v>
      </c>
      <c r="R85" s="58"/>
      <c r="S85" s="58"/>
      <c r="T85" s="53"/>
    </row>
    <row r="86" spans="1:20" s="12" customFormat="1" ht="84.2" customHeight="1">
      <c r="A86" s="78" t="s">
        <v>175</v>
      </c>
      <c r="B86" s="78" t="s">
        <v>295</v>
      </c>
      <c r="C86" s="78" t="s">
        <v>69</v>
      </c>
      <c r="D86" s="35" t="s">
        <v>404</v>
      </c>
      <c r="E86" s="30"/>
      <c r="F86" s="89">
        <f t="shared" si="21"/>
        <v>1000000</v>
      </c>
      <c r="G86" s="89">
        <f>625000+375000</f>
        <v>1000000</v>
      </c>
      <c r="H86" s="89"/>
      <c r="I86" s="89"/>
      <c r="J86" s="89"/>
      <c r="K86" s="89">
        <f t="shared" si="27"/>
        <v>0</v>
      </c>
      <c r="L86" s="89"/>
      <c r="M86" s="89"/>
      <c r="N86" s="89"/>
      <c r="O86" s="89"/>
      <c r="P86" s="89"/>
      <c r="Q86" s="89">
        <f t="shared" si="29"/>
        <v>1000000</v>
      </c>
      <c r="R86" s="58"/>
      <c r="S86" s="58"/>
      <c r="T86" s="53"/>
    </row>
    <row r="87" spans="1:20" s="12" customFormat="1" ht="40.700000000000003" hidden="1" customHeight="1">
      <c r="A87" s="82" t="s">
        <v>359</v>
      </c>
      <c r="B87" s="78"/>
      <c r="C87" s="83"/>
      <c r="D87" s="31" t="s">
        <v>33</v>
      </c>
      <c r="E87" s="30" t="s">
        <v>33</v>
      </c>
      <c r="F87" s="89">
        <f t="shared" si="21"/>
        <v>0</v>
      </c>
      <c r="G87" s="89"/>
      <c r="H87" s="89"/>
      <c r="I87" s="89"/>
      <c r="J87" s="89">
        <f t="shared" ref="J87:P87" si="30">J88+J89+J90+J91+J92+J93+J94</f>
        <v>0</v>
      </c>
      <c r="K87" s="89">
        <f t="shared" si="30"/>
        <v>0</v>
      </c>
      <c r="L87" s="89">
        <f t="shared" si="30"/>
        <v>0</v>
      </c>
      <c r="M87" s="89">
        <f t="shared" si="30"/>
        <v>0</v>
      </c>
      <c r="N87" s="89">
        <f t="shared" si="30"/>
        <v>0</v>
      </c>
      <c r="O87" s="89">
        <f t="shared" si="30"/>
        <v>0</v>
      </c>
      <c r="P87" s="89">
        <f t="shared" si="30"/>
        <v>0</v>
      </c>
      <c r="Q87" s="89">
        <f t="shared" ref="Q87:Q110" si="31">F87+K87</f>
        <v>0</v>
      </c>
      <c r="R87" s="58"/>
      <c r="S87" s="58"/>
      <c r="T87" s="53"/>
    </row>
    <row r="88" spans="1:20" s="12" customFormat="1" ht="40.700000000000003" hidden="1" customHeight="1">
      <c r="A88" s="78" t="s">
        <v>136</v>
      </c>
      <c r="B88" s="78" t="s">
        <v>296</v>
      </c>
      <c r="C88" s="78" t="s">
        <v>58</v>
      </c>
      <c r="D88" s="25" t="s">
        <v>84</v>
      </c>
      <c r="E88" s="30" t="s">
        <v>37</v>
      </c>
      <c r="F88" s="89">
        <f t="shared" si="21"/>
        <v>0</v>
      </c>
      <c r="G88" s="89"/>
      <c r="H88" s="89"/>
      <c r="I88" s="89"/>
      <c r="J88" s="89"/>
      <c r="K88" s="89">
        <f t="shared" ref="K88:K113" si="32">M88+P88</f>
        <v>0</v>
      </c>
      <c r="L88" s="89"/>
      <c r="M88" s="89"/>
      <c r="N88" s="89"/>
      <c r="O88" s="89"/>
      <c r="P88" s="89"/>
      <c r="Q88" s="89">
        <f t="shared" si="31"/>
        <v>0</v>
      </c>
      <c r="R88" s="58"/>
      <c r="S88" s="58"/>
      <c r="T88" s="53"/>
    </row>
    <row r="89" spans="1:20" s="12" customFormat="1" ht="40.700000000000003" hidden="1" customHeight="1">
      <c r="A89" s="78" t="s">
        <v>135</v>
      </c>
      <c r="B89" s="78" t="s">
        <v>297</v>
      </c>
      <c r="C89" s="78" t="s">
        <v>58</v>
      </c>
      <c r="D89" s="25" t="s">
        <v>89</v>
      </c>
      <c r="E89" s="30" t="s">
        <v>27</v>
      </c>
      <c r="F89" s="89">
        <f t="shared" si="21"/>
        <v>0</v>
      </c>
      <c r="G89" s="89"/>
      <c r="H89" s="89"/>
      <c r="I89" s="89"/>
      <c r="J89" s="89"/>
      <c r="K89" s="89">
        <f t="shared" si="32"/>
        <v>0</v>
      </c>
      <c r="L89" s="89"/>
      <c r="M89" s="89"/>
      <c r="N89" s="89"/>
      <c r="O89" s="89"/>
      <c r="P89" s="89"/>
      <c r="Q89" s="89">
        <f t="shared" si="31"/>
        <v>0</v>
      </c>
      <c r="R89" s="58"/>
      <c r="S89" s="58"/>
      <c r="T89" s="53"/>
    </row>
    <row r="90" spans="1:20" s="12" customFormat="1" ht="40.700000000000003" hidden="1" customHeight="1">
      <c r="A90" s="78" t="s">
        <v>137</v>
      </c>
      <c r="B90" s="78" t="s">
        <v>298</v>
      </c>
      <c r="C90" s="78" t="s">
        <v>58</v>
      </c>
      <c r="D90" s="25" t="s">
        <v>85</v>
      </c>
      <c r="E90" s="30" t="s">
        <v>23</v>
      </c>
      <c r="F90" s="89">
        <f t="shared" si="21"/>
        <v>0</v>
      </c>
      <c r="G90" s="89"/>
      <c r="H90" s="89"/>
      <c r="I90" s="89"/>
      <c r="J90" s="89"/>
      <c r="K90" s="89">
        <f t="shared" si="32"/>
        <v>0</v>
      </c>
      <c r="L90" s="89"/>
      <c r="M90" s="89"/>
      <c r="N90" s="89"/>
      <c r="O90" s="89"/>
      <c r="P90" s="89"/>
      <c r="Q90" s="89">
        <f t="shared" si="31"/>
        <v>0</v>
      </c>
      <c r="R90" s="58"/>
      <c r="S90" s="58"/>
      <c r="T90" s="53"/>
    </row>
    <row r="91" spans="1:20" s="12" customFormat="1" ht="40.700000000000003" hidden="1" customHeight="1">
      <c r="A91" s="78" t="s">
        <v>138</v>
      </c>
      <c r="B91" s="78" t="s">
        <v>299</v>
      </c>
      <c r="C91" s="78" t="s">
        <v>58</v>
      </c>
      <c r="D91" s="25" t="s">
        <v>86</v>
      </c>
      <c r="E91" s="30" t="s">
        <v>21</v>
      </c>
      <c r="F91" s="89">
        <f t="shared" si="21"/>
        <v>0</v>
      </c>
      <c r="G91" s="89"/>
      <c r="H91" s="89"/>
      <c r="I91" s="89"/>
      <c r="J91" s="89"/>
      <c r="K91" s="89">
        <f t="shared" si="32"/>
        <v>0</v>
      </c>
      <c r="L91" s="89"/>
      <c r="M91" s="89"/>
      <c r="N91" s="89"/>
      <c r="O91" s="89"/>
      <c r="P91" s="89"/>
      <c r="Q91" s="89">
        <f t="shared" si="31"/>
        <v>0</v>
      </c>
      <c r="R91" s="58"/>
      <c r="S91" s="58"/>
      <c r="T91" s="53"/>
    </row>
    <row r="92" spans="1:20" s="12" customFormat="1" ht="40.700000000000003" hidden="1" customHeight="1">
      <c r="A92" s="78" t="s">
        <v>139</v>
      </c>
      <c r="B92" s="78" t="s">
        <v>300</v>
      </c>
      <c r="C92" s="78" t="s">
        <v>58</v>
      </c>
      <c r="D92" s="25" t="s">
        <v>87</v>
      </c>
      <c r="E92" s="30" t="s">
        <v>28</v>
      </c>
      <c r="F92" s="89">
        <f t="shared" si="21"/>
        <v>0</v>
      </c>
      <c r="G92" s="89"/>
      <c r="H92" s="89"/>
      <c r="I92" s="89"/>
      <c r="J92" s="89"/>
      <c r="K92" s="89">
        <f t="shared" si="32"/>
        <v>0</v>
      </c>
      <c r="L92" s="89"/>
      <c r="M92" s="89"/>
      <c r="N92" s="89"/>
      <c r="O92" s="89"/>
      <c r="P92" s="89"/>
      <c r="Q92" s="89">
        <f t="shared" si="31"/>
        <v>0</v>
      </c>
      <c r="R92" s="58"/>
      <c r="S92" s="58"/>
      <c r="T92" s="53"/>
    </row>
    <row r="93" spans="1:20" s="12" customFormat="1" ht="40.700000000000003" hidden="1" customHeight="1">
      <c r="A93" s="78" t="s">
        <v>140</v>
      </c>
      <c r="B93" s="78" t="s">
        <v>301</v>
      </c>
      <c r="C93" s="78" t="s">
        <v>58</v>
      </c>
      <c r="D93" s="25" t="s">
        <v>88</v>
      </c>
      <c r="E93" s="30" t="s">
        <v>16</v>
      </c>
      <c r="F93" s="89">
        <f t="shared" si="21"/>
        <v>0</v>
      </c>
      <c r="G93" s="89"/>
      <c r="H93" s="89"/>
      <c r="I93" s="89"/>
      <c r="J93" s="89"/>
      <c r="K93" s="89">
        <f t="shared" si="32"/>
        <v>0</v>
      </c>
      <c r="L93" s="89"/>
      <c r="M93" s="89"/>
      <c r="N93" s="89"/>
      <c r="O93" s="89"/>
      <c r="P93" s="89"/>
      <c r="Q93" s="89">
        <f t="shared" si="31"/>
        <v>0</v>
      </c>
      <c r="R93" s="58"/>
      <c r="S93" s="58"/>
      <c r="T93" s="53"/>
    </row>
    <row r="94" spans="1:20" s="12" customFormat="1" ht="40.700000000000003" hidden="1" customHeight="1">
      <c r="A94" s="78" t="s">
        <v>141</v>
      </c>
      <c r="B94" s="78" t="s">
        <v>302</v>
      </c>
      <c r="C94" s="78" t="s">
        <v>58</v>
      </c>
      <c r="D94" s="25" t="s">
        <v>90</v>
      </c>
      <c r="E94" s="30" t="s">
        <v>22</v>
      </c>
      <c r="F94" s="89">
        <f t="shared" si="21"/>
        <v>0</v>
      </c>
      <c r="G94" s="89"/>
      <c r="H94" s="89"/>
      <c r="I94" s="89"/>
      <c r="J94" s="89"/>
      <c r="K94" s="89">
        <f t="shared" si="32"/>
        <v>0</v>
      </c>
      <c r="L94" s="89"/>
      <c r="M94" s="89"/>
      <c r="N94" s="89"/>
      <c r="O94" s="89"/>
      <c r="P94" s="89"/>
      <c r="Q94" s="89">
        <f t="shared" si="31"/>
        <v>0</v>
      </c>
      <c r="R94" s="58"/>
      <c r="S94" s="58"/>
      <c r="T94" s="53"/>
    </row>
    <row r="95" spans="1:20" s="12" customFormat="1" ht="40.700000000000003" hidden="1" customHeight="1">
      <c r="A95" s="78" t="s">
        <v>251</v>
      </c>
      <c r="B95" s="78" t="s">
        <v>303</v>
      </c>
      <c r="C95" s="78" t="s">
        <v>58</v>
      </c>
      <c r="D95" s="25" t="s">
        <v>252</v>
      </c>
      <c r="E95" s="30"/>
      <c r="F95" s="89">
        <f t="shared" si="21"/>
        <v>0</v>
      </c>
      <c r="G95" s="89"/>
      <c r="H95" s="89"/>
      <c r="I95" s="89"/>
      <c r="J95" s="89"/>
      <c r="K95" s="89"/>
      <c r="L95" s="89"/>
      <c r="M95" s="89"/>
      <c r="N95" s="89"/>
      <c r="O95" s="89"/>
      <c r="P95" s="89"/>
      <c r="Q95" s="89">
        <f t="shared" si="31"/>
        <v>0</v>
      </c>
      <c r="R95" s="58"/>
      <c r="S95" s="58"/>
      <c r="T95" s="53"/>
    </row>
    <row r="96" spans="1:20" s="12" customFormat="1" ht="83.1" customHeight="1">
      <c r="A96" s="78" t="s">
        <v>134</v>
      </c>
      <c r="B96" s="78" t="s">
        <v>304</v>
      </c>
      <c r="C96" s="78" t="s">
        <v>69</v>
      </c>
      <c r="D96" s="25" t="s">
        <v>83</v>
      </c>
      <c r="E96" s="30" t="s">
        <v>50</v>
      </c>
      <c r="F96" s="89">
        <f t="shared" si="21"/>
        <v>98500</v>
      </c>
      <c r="G96" s="89">
        <v>98500</v>
      </c>
      <c r="H96" s="89"/>
      <c r="I96" s="89"/>
      <c r="J96" s="89"/>
      <c r="K96" s="89">
        <f t="shared" ref="K96:K102" si="33">M96+P96</f>
        <v>0</v>
      </c>
      <c r="L96" s="89"/>
      <c r="M96" s="89"/>
      <c r="N96" s="89"/>
      <c r="O96" s="89"/>
      <c r="P96" s="89"/>
      <c r="Q96" s="89">
        <f t="shared" si="31"/>
        <v>98500</v>
      </c>
      <c r="R96" s="58"/>
      <c r="S96" s="58"/>
      <c r="T96" s="53"/>
    </row>
    <row r="97" spans="1:20" s="12" customFormat="1" ht="194.25" hidden="1" customHeight="1">
      <c r="A97" s="78" t="s">
        <v>142</v>
      </c>
      <c r="B97" s="78" t="s">
        <v>305</v>
      </c>
      <c r="C97" s="82"/>
      <c r="D97" s="25" t="s">
        <v>250</v>
      </c>
      <c r="E97" s="30" t="s">
        <v>46</v>
      </c>
      <c r="F97" s="89">
        <f t="shared" si="21"/>
        <v>0</v>
      </c>
      <c r="G97" s="89"/>
      <c r="H97" s="90"/>
      <c r="I97" s="90"/>
      <c r="J97" s="90"/>
      <c r="K97" s="89">
        <f t="shared" si="33"/>
        <v>0</v>
      </c>
      <c r="L97" s="89"/>
      <c r="M97" s="90"/>
      <c r="N97" s="89"/>
      <c r="O97" s="90"/>
      <c r="P97" s="90"/>
      <c r="Q97" s="89">
        <f t="shared" si="31"/>
        <v>0</v>
      </c>
      <c r="R97" s="58"/>
      <c r="S97" s="58"/>
      <c r="T97" s="53"/>
    </row>
    <row r="98" spans="1:20" s="12" customFormat="1" ht="45.75" hidden="1" customHeight="1">
      <c r="A98" s="78" t="s">
        <v>193</v>
      </c>
      <c r="B98" s="78" t="s">
        <v>306</v>
      </c>
      <c r="C98" s="78" t="s">
        <v>71</v>
      </c>
      <c r="D98" s="25" t="s">
        <v>198</v>
      </c>
      <c r="E98" s="30"/>
      <c r="F98" s="89">
        <f t="shared" si="21"/>
        <v>0</v>
      </c>
      <c r="G98" s="89"/>
      <c r="H98" s="90"/>
      <c r="I98" s="90"/>
      <c r="J98" s="90"/>
      <c r="K98" s="89">
        <f t="shared" si="33"/>
        <v>0</v>
      </c>
      <c r="L98" s="89"/>
      <c r="M98" s="90"/>
      <c r="N98" s="89"/>
      <c r="O98" s="90"/>
      <c r="P98" s="90"/>
      <c r="Q98" s="89">
        <f t="shared" si="31"/>
        <v>0</v>
      </c>
      <c r="R98" s="58"/>
      <c r="S98" s="58"/>
      <c r="T98" s="53"/>
    </row>
    <row r="99" spans="1:20" s="12" customFormat="1" ht="65.45" hidden="1" customHeight="1">
      <c r="A99" s="78" t="s">
        <v>194</v>
      </c>
      <c r="B99" s="78" t="s">
        <v>307</v>
      </c>
      <c r="C99" s="78" t="s">
        <v>71</v>
      </c>
      <c r="D99" s="25" t="s">
        <v>199</v>
      </c>
      <c r="E99" s="30"/>
      <c r="F99" s="89">
        <f t="shared" si="21"/>
        <v>0</v>
      </c>
      <c r="G99" s="89"/>
      <c r="H99" s="90"/>
      <c r="I99" s="90"/>
      <c r="J99" s="90"/>
      <c r="K99" s="89">
        <f t="shared" si="33"/>
        <v>0</v>
      </c>
      <c r="L99" s="89"/>
      <c r="M99" s="90"/>
      <c r="N99" s="89"/>
      <c r="O99" s="90"/>
      <c r="P99" s="90"/>
      <c r="Q99" s="89">
        <f t="shared" si="31"/>
        <v>0</v>
      </c>
      <c r="R99" s="58"/>
      <c r="S99" s="58"/>
      <c r="T99" s="53"/>
    </row>
    <row r="100" spans="1:20" s="12" customFormat="1" ht="45.75" hidden="1" customHeight="1">
      <c r="A100" s="78" t="s">
        <v>195</v>
      </c>
      <c r="B100" s="78" t="s">
        <v>308</v>
      </c>
      <c r="C100" s="78" t="s">
        <v>71</v>
      </c>
      <c r="D100" s="25" t="s">
        <v>200</v>
      </c>
      <c r="E100" s="30"/>
      <c r="F100" s="89">
        <f t="shared" si="21"/>
        <v>0</v>
      </c>
      <c r="G100" s="89"/>
      <c r="H100" s="90"/>
      <c r="I100" s="90"/>
      <c r="J100" s="90"/>
      <c r="K100" s="89">
        <f t="shared" si="33"/>
        <v>0</v>
      </c>
      <c r="L100" s="89"/>
      <c r="M100" s="90"/>
      <c r="N100" s="89"/>
      <c r="O100" s="90"/>
      <c r="P100" s="90"/>
      <c r="Q100" s="89">
        <f t="shared" si="31"/>
        <v>0</v>
      </c>
      <c r="R100" s="58"/>
      <c r="S100" s="58"/>
      <c r="T100" s="53"/>
    </row>
    <row r="101" spans="1:20" s="12" customFormat="1" ht="68.25" hidden="1" customHeight="1">
      <c r="A101" s="78" t="s">
        <v>196</v>
      </c>
      <c r="B101" s="78" t="s">
        <v>309</v>
      </c>
      <c r="C101" s="78" t="s">
        <v>71</v>
      </c>
      <c r="D101" s="25" t="s">
        <v>201</v>
      </c>
      <c r="E101" s="30"/>
      <c r="F101" s="89">
        <f t="shared" si="21"/>
        <v>0</v>
      </c>
      <c r="G101" s="89"/>
      <c r="H101" s="90"/>
      <c r="I101" s="90"/>
      <c r="J101" s="90"/>
      <c r="K101" s="89">
        <f t="shared" si="33"/>
        <v>0</v>
      </c>
      <c r="L101" s="89"/>
      <c r="M101" s="90"/>
      <c r="N101" s="89"/>
      <c r="O101" s="90"/>
      <c r="P101" s="90"/>
      <c r="Q101" s="89">
        <f t="shared" si="31"/>
        <v>0</v>
      </c>
      <c r="R101" s="58"/>
      <c r="S101" s="58"/>
      <c r="T101" s="53"/>
    </row>
    <row r="102" spans="1:20" s="12" customFormat="1" ht="81.2" hidden="1" customHeight="1">
      <c r="A102" s="78" t="s">
        <v>197</v>
      </c>
      <c r="B102" s="78" t="s">
        <v>310</v>
      </c>
      <c r="C102" s="78" t="s">
        <v>71</v>
      </c>
      <c r="D102" s="25" t="s">
        <v>202</v>
      </c>
      <c r="E102" s="30"/>
      <c r="F102" s="89">
        <f t="shared" si="21"/>
        <v>0</v>
      </c>
      <c r="G102" s="89"/>
      <c r="H102" s="90"/>
      <c r="I102" s="90"/>
      <c r="J102" s="90"/>
      <c r="K102" s="89">
        <f t="shared" si="33"/>
        <v>0</v>
      </c>
      <c r="L102" s="89"/>
      <c r="M102" s="90"/>
      <c r="N102" s="89"/>
      <c r="O102" s="90"/>
      <c r="P102" s="90"/>
      <c r="Q102" s="89">
        <f t="shared" si="31"/>
        <v>0</v>
      </c>
      <c r="R102" s="58"/>
      <c r="S102" s="58"/>
      <c r="T102" s="53"/>
    </row>
    <row r="103" spans="1:20" s="4" customFormat="1" ht="115.15" customHeight="1">
      <c r="A103" s="78" t="s">
        <v>143</v>
      </c>
      <c r="B103" s="78" t="s">
        <v>311</v>
      </c>
      <c r="C103" s="78" t="s">
        <v>72</v>
      </c>
      <c r="D103" s="25" t="s">
        <v>93</v>
      </c>
      <c r="E103" s="30" t="s">
        <v>49</v>
      </c>
      <c r="F103" s="89">
        <f t="shared" si="21"/>
        <v>17399700</v>
      </c>
      <c r="G103" s="89">
        <f>13399700+3900000+50000+50000</f>
        <v>17399700</v>
      </c>
      <c r="H103" s="90">
        <f>9410700+3200000</f>
        <v>12610700</v>
      </c>
      <c r="I103" s="90">
        <f>1058000-200000</f>
        <v>858000</v>
      </c>
      <c r="J103" s="90"/>
      <c r="K103" s="89">
        <f t="shared" si="32"/>
        <v>778900</v>
      </c>
      <c r="L103" s="89">
        <f>508900+50000-50000</f>
        <v>508900</v>
      </c>
      <c r="M103" s="90">
        <v>270000</v>
      </c>
      <c r="N103" s="89">
        <v>197000</v>
      </c>
      <c r="O103" s="90"/>
      <c r="P103" s="90">
        <f>L103</f>
        <v>508900</v>
      </c>
      <c r="Q103" s="89">
        <f t="shared" si="31"/>
        <v>18178600</v>
      </c>
      <c r="R103" s="57"/>
      <c r="S103" s="57"/>
      <c r="T103" s="56"/>
    </row>
    <row r="104" spans="1:20" s="4" customFormat="1" ht="176.25" customHeight="1">
      <c r="A104" s="78" t="s">
        <v>416</v>
      </c>
      <c r="B104" s="78" t="s">
        <v>362</v>
      </c>
      <c r="C104" s="78" t="s">
        <v>58</v>
      </c>
      <c r="D104" s="127" t="s">
        <v>454</v>
      </c>
      <c r="E104" s="126" t="s">
        <v>32</v>
      </c>
      <c r="F104" s="89">
        <f t="shared" si="21"/>
        <v>5413100</v>
      </c>
      <c r="G104" s="89">
        <f>4600000+700000+113100</f>
        <v>5413100</v>
      </c>
      <c r="H104" s="90">
        <f>3406600+570000</f>
        <v>3976600</v>
      </c>
      <c r="I104" s="90">
        <v>338600</v>
      </c>
      <c r="J104" s="90"/>
      <c r="K104" s="89">
        <f>M104+P104</f>
        <v>0</v>
      </c>
      <c r="L104" s="89"/>
      <c r="M104" s="89"/>
      <c r="N104" s="89"/>
      <c r="O104" s="90"/>
      <c r="P104" s="90">
        <f>L104</f>
        <v>0</v>
      </c>
      <c r="Q104" s="89">
        <f>F104+K104</f>
        <v>5413100</v>
      </c>
      <c r="R104" s="57"/>
      <c r="S104" s="57"/>
      <c r="T104" s="56"/>
    </row>
    <row r="105" spans="1:20" s="4" customFormat="1" ht="176.25" customHeight="1">
      <c r="A105" s="81" t="s">
        <v>211</v>
      </c>
      <c r="B105" s="81" t="s">
        <v>312</v>
      </c>
      <c r="C105" s="81" t="s">
        <v>71</v>
      </c>
      <c r="D105" s="41" t="s">
        <v>212</v>
      </c>
      <c r="E105" s="125"/>
      <c r="F105" s="94">
        <f t="shared" si="21"/>
        <v>3001100</v>
      </c>
      <c r="G105" s="89">
        <v>3001100</v>
      </c>
      <c r="H105" s="90"/>
      <c r="I105" s="90"/>
      <c r="J105" s="90"/>
      <c r="K105" s="89">
        <f t="shared" si="32"/>
        <v>0</v>
      </c>
      <c r="L105" s="89"/>
      <c r="M105" s="90"/>
      <c r="N105" s="89"/>
      <c r="O105" s="90"/>
      <c r="P105" s="90"/>
      <c r="Q105" s="89">
        <f t="shared" si="31"/>
        <v>3001100</v>
      </c>
      <c r="R105" s="57"/>
      <c r="S105" s="57"/>
      <c r="T105" s="56"/>
    </row>
    <row r="106" spans="1:20" s="4" customFormat="1" ht="152.1" customHeight="1">
      <c r="A106" s="78" t="s">
        <v>184</v>
      </c>
      <c r="B106" s="78" t="s">
        <v>313</v>
      </c>
      <c r="C106" s="78" t="s">
        <v>70</v>
      </c>
      <c r="D106" s="25" t="s">
        <v>185</v>
      </c>
      <c r="E106" s="30" t="s">
        <v>3</v>
      </c>
      <c r="F106" s="89">
        <f t="shared" si="21"/>
        <v>44000</v>
      </c>
      <c r="G106" s="89">
        <f>44000</f>
        <v>44000</v>
      </c>
      <c r="H106" s="90"/>
      <c r="I106" s="90"/>
      <c r="J106" s="90"/>
      <c r="K106" s="89">
        <f t="shared" si="32"/>
        <v>0</v>
      </c>
      <c r="L106" s="89"/>
      <c r="M106" s="90"/>
      <c r="N106" s="89"/>
      <c r="O106" s="90"/>
      <c r="P106" s="90"/>
      <c r="Q106" s="89">
        <f t="shared" si="31"/>
        <v>44000</v>
      </c>
      <c r="R106" s="57"/>
      <c r="S106" s="57"/>
      <c r="T106" s="56"/>
    </row>
    <row r="107" spans="1:20" s="4" customFormat="1" ht="110.45" customHeight="1">
      <c r="A107" s="78" t="s">
        <v>186</v>
      </c>
      <c r="B107" s="78" t="s">
        <v>314</v>
      </c>
      <c r="C107" s="78" t="s">
        <v>68</v>
      </c>
      <c r="D107" s="25" t="s">
        <v>510</v>
      </c>
      <c r="E107" s="30" t="s">
        <v>47</v>
      </c>
      <c r="F107" s="89">
        <f t="shared" si="21"/>
        <v>126000</v>
      </c>
      <c r="G107" s="89">
        <f>121000+5000</f>
        <v>126000</v>
      </c>
      <c r="H107" s="90"/>
      <c r="I107" s="90"/>
      <c r="J107" s="90"/>
      <c r="K107" s="89">
        <f t="shared" si="32"/>
        <v>0</v>
      </c>
      <c r="L107" s="89"/>
      <c r="M107" s="90"/>
      <c r="N107" s="89"/>
      <c r="O107" s="90"/>
      <c r="P107" s="90"/>
      <c r="Q107" s="89">
        <f t="shared" si="31"/>
        <v>126000</v>
      </c>
      <c r="R107" s="57"/>
      <c r="S107" s="57"/>
      <c r="T107" s="56"/>
    </row>
    <row r="108" spans="1:20" s="4" customFormat="1" ht="125.25" customHeight="1">
      <c r="A108" s="78" t="s">
        <v>481</v>
      </c>
      <c r="B108" s="78" t="s">
        <v>482</v>
      </c>
      <c r="C108" s="78" t="s">
        <v>68</v>
      </c>
      <c r="D108" s="25" t="s">
        <v>483</v>
      </c>
      <c r="E108" s="30"/>
      <c r="F108" s="89">
        <f t="shared" si="21"/>
        <v>352480</v>
      </c>
      <c r="G108" s="89">
        <f>245720+68980-68980+122860-16100</f>
        <v>352480</v>
      </c>
      <c r="H108" s="90">
        <f>201408+100704-13200</f>
        <v>288912</v>
      </c>
      <c r="I108" s="90"/>
      <c r="J108" s="90"/>
      <c r="K108" s="89">
        <f t="shared" si="32"/>
        <v>0</v>
      </c>
      <c r="L108" s="89"/>
      <c r="M108" s="90"/>
      <c r="N108" s="89"/>
      <c r="O108" s="90"/>
      <c r="P108" s="90"/>
      <c r="Q108" s="89">
        <f t="shared" si="31"/>
        <v>352480</v>
      </c>
      <c r="R108" s="57"/>
      <c r="S108" s="57"/>
      <c r="T108" s="56"/>
    </row>
    <row r="109" spans="1:20" s="4" customFormat="1" ht="409.6" customHeight="1">
      <c r="A109" s="78" t="s">
        <v>521</v>
      </c>
      <c r="B109" s="78" t="s">
        <v>522</v>
      </c>
      <c r="C109" s="78" t="s">
        <v>70</v>
      </c>
      <c r="D109" s="135" t="s">
        <v>523</v>
      </c>
      <c r="E109" s="38"/>
      <c r="F109" s="89">
        <f t="shared" si="21"/>
        <v>0</v>
      </c>
      <c r="G109" s="92">
        <v>0</v>
      </c>
      <c r="H109" s="93"/>
      <c r="I109" s="93"/>
      <c r="J109" s="93"/>
      <c r="K109" s="89">
        <f t="shared" si="32"/>
        <v>12994937</v>
      </c>
      <c r="L109" s="92">
        <v>12994937</v>
      </c>
      <c r="M109" s="93"/>
      <c r="N109" s="92"/>
      <c r="O109" s="93"/>
      <c r="P109" s="93">
        <f>L109</f>
        <v>12994937</v>
      </c>
      <c r="Q109" s="89">
        <f t="shared" si="31"/>
        <v>12994937</v>
      </c>
      <c r="R109" s="57"/>
      <c r="S109" s="57"/>
      <c r="T109" s="56"/>
    </row>
    <row r="110" spans="1:20" s="4" customFormat="1" ht="70.349999999999994" customHeight="1">
      <c r="A110" s="78" t="s">
        <v>204</v>
      </c>
      <c r="B110" s="78" t="s">
        <v>279</v>
      </c>
      <c r="C110" s="78" t="s">
        <v>57</v>
      </c>
      <c r="D110" s="35" t="s">
        <v>182</v>
      </c>
      <c r="E110" s="38"/>
      <c r="F110" s="89">
        <f t="shared" si="21"/>
        <v>12977900</v>
      </c>
      <c r="G110" s="92">
        <f>11317900+6000+1595000+6000+53000</f>
        <v>12977900</v>
      </c>
      <c r="H110" s="93"/>
      <c r="I110" s="93"/>
      <c r="J110" s="93"/>
      <c r="K110" s="89">
        <f t="shared" si="32"/>
        <v>0</v>
      </c>
      <c r="L110" s="92"/>
      <c r="M110" s="93"/>
      <c r="N110" s="92"/>
      <c r="O110" s="93"/>
      <c r="P110" s="93"/>
      <c r="Q110" s="89">
        <f t="shared" si="31"/>
        <v>12977900</v>
      </c>
      <c r="R110" s="57"/>
      <c r="S110" s="57"/>
      <c r="T110" s="56"/>
    </row>
    <row r="111" spans="1:20" s="4" customFormat="1" ht="80.099999999999994" customHeight="1">
      <c r="A111" s="78" t="s">
        <v>351</v>
      </c>
      <c r="B111" s="78" t="s">
        <v>343</v>
      </c>
      <c r="C111" s="78" t="s">
        <v>344</v>
      </c>
      <c r="D111" s="25" t="s">
        <v>345</v>
      </c>
      <c r="E111" s="38"/>
      <c r="F111" s="89">
        <f t="shared" si="21"/>
        <v>67000</v>
      </c>
      <c r="G111" s="92">
        <f>30000+30000+7000</f>
        <v>67000</v>
      </c>
      <c r="H111" s="93"/>
      <c r="I111" s="93"/>
      <c r="J111" s="93"/>
      <c r="K111" s="89">
        <f t="shared" si="32"/>
        <v>0</v>
      </c>
      <c r="L111" s="92"/>
      <c r="M111" s="92"/>
      <c r="N111" s="92"/>
      <c r="O111" s="93"/>
      <c r="P111" s="93">
        <f>L111</f>
        <v>0</v>
      </c>
      <c r="Q111" s="89">
        <f>F111+K111</f>
        <v>67000</v>
      </c>
      <c r="R111" s="57"/>
      <c r="S111" s="57"/>
      <c r="T111" s="56"/>
    </row>
    <row r="112" spans="1:20" s="4" customFormat="1" ht="30.2" hidden="1" customHeight="1">
      <c r="A112" s="78" t="s">
        <v>249</v>
      </c>
      <c r="B112" s="78" t="s">
        <v>282</v>
      </c>
      <c r="C112" s="78" t="s">
        <v>76</v>
      </c>
      <c r="D112" s="35" t="s">
        <v>110</v>
      </c>
      <c r="E112" s="3"/>
      <c r="F112" s="89">
        <f t="shared" si="21"/>
        <v>0</v>
      </c>
      <c r="G112" s="89"/>
      <c r="H112" s="90"/>
      <c r="I112" s="90"/>
      <c r="J112" s="90"/>
      <c r="K112" s="89">
        <f t="shared" si="32"/>
        <v>0</v>
      </c>
      <c r="L112" s="89"/>
      <c r="M112" s="90"/>
      <c r="N112" s="89"/>
      <c r="O112" s="90"/>
      <c r="P112" s="90"/>
      <c r="Q112" s="89">
        <f t="shared" ref="Q112:Q113" si="34">F112+K112</f>
        <v>0</v>
      </c>
      <c r="R112" s="57"/>
      <c r="S112" s="57"/>
      <c r="T112" s="56"/>
    </row>
    <row r="113" spans="1:20" s="4" customFormat="1" ht="99.75" customHeight="1">
      <c r="A113" s="78" t="s">
        <v>491</v>
      </c>
      <c r="B113" s="78" t="s">
        <v>418</v>
      </c>
      <c r="C113" s="78" t="s">
        <v>348</v>
      </c>
      <c r="D113" s="35" t="s">
        <v>420</v>
      </c>
      <c r="E113" s="3"/>
      <c r="F113" s="89">
        <f t="shared" si="21"/>
        <v>185000</v>
      </c>
      <c r="G113" s="89">
        <f>95000+90000</f>
        <v>185000</v>
      </c>
      <c r="H113" s="90"/>
      <c r="I113" s="90"/>
      <c r="J113" s="90"/>
      <c r="K113" s="89">
        <f t="shared" si="32"/>
        <v>0</v>
      </c>
      <c r="L113" s="89"/>
      <c r="M113" s="90"/>
      <c r="N113" s="89"/>
      <c r="O113" s="90"/>
      <c r="P113" s="90"/>
      <c r="Q113" s="89">
        <f t="shared" si="34"/>
        <v>185000</v>
      </c>
      <c r="R113" s="57"/>
      <c r="S113" s="57"/>
      <c r="T113" s="56"/>
    </row>
    <row r="114" spans="1:20" s="22" customFormat="1" ht="72.75" customHeight="1">
      <c r="A114" s="65" t="s">
        <v>77</v>
      </c>
      <c r="B114" s="65" t="s">
        <v>77</v>
      </c>
      <c r="C114" s="71"/>
      <c r="D114" s="70" t="s">
        <v>31</v>
      </c>
      <c r="E114" s="69" t="s">
        <v>31</v>
      </c>
      <c r="F114" s="111">
        <f t="shared" si="21"/>
        <v>47461202</v>
      </c>
      <c r="G114" s="68">
        <f t="shared" ref="G114:P114" si="35">G115</f>
        <v>47461202</v>
      </c>
      <c r="H114" s="68">
        <f t="shared" si="35"/>
        <v>33785900</v>
      </c>
      <c r="I114" s="68">
        <f t="shared" si="35"/>
        <v>4411700</v>
      </c>
      <c r="J114" s="68">
        <f t="shared" si="35"/>
        <v>0</v>
      </c>
      <c r="K114" s="68">
        <f t="shared" si="35"/>
        <v>1382750</v>
      </c>
      <c r="L114" s="68">
        <f t="shared" si="35"/>
        <v>336750</v>
      </c>
      <c r="M114" s="68">
        <f t="shared" si="35"/>
        <v>1046000</v>
      </c>
      <c r="N114" s="68">
        <f t="shared" si="35"/>
        <v>240100</v>
      </c>
      <c r="O114" s="68">
        <f t="shared" si="35"/>
        <v>0</v>
      </c>
      <c r="P114" s="68">
        <f t="shared" si="35"/>
        <v>336750</v>
      </c>
      <c r="Q114" s="68">
        <f>Q115</f>
        <v>48843952</v>
      </c>
      <c r="R114" s="54"/>
      <c r="S114" s="58"/>
      <c r="T114" s="53"/>
    </row>
    <row r="115" spans="1:20" s="22" customFormat="1" ht="62.45" customHeight="1">
      <c r="A115" s="82" t="s">
        <v>113</v>
      </c>
      <c r="B115" s="82" t="s">
        <v>316</v>
      </c>
      <c r="C115" s="78"/>
      <c r="D115" s="31" t="str">
        <f>D114</f>
        <v>Управління культури і туризму міської ради</v>
      </c>
      <c r="E115" s="28"/>
      <c r="F115" s="89">
        <f t="shared" si="21"/>
        <v>47461202</v>
      </c>
      <c r="G115" s="89">
        <f>SUM(G116:G126)</f>
        <v>47461202</v>
      </c>
      <c r="H115" s="89">
        <f t="shared" ref="H115:P115" si="36">SUM(H116:H125)</f>
        <v>33785900</v>
      </c>
      <c r="I115" s="89">
        <f t="shared" si="36"/>
        <v>4411700</v>
      </c>
      <c r="J115" s="89">
        <f t="shared" si="36"/>
        <v>0</v>
      </c>
      <c r="K115" s="89">
        <f t="shared" si="36"/>
        <v>1382750</v>
      </c>
      <c r="L115" s="89">
        <f t="shared" si="36"/>
        <v>336750</v>
      </c>
      <c r="M115" s="89">
        <f t="shared" si="36"/>
        <v>1046000</v>
      </c>
      <c r="N115" s="89">
        <f t="shared" si="36"/>
        <v>240100</v>
      </c>
      <c r="O115" s="89">
        <f t="shared" si="36"/>
        <v>0</v>
      </c>
      <c r="P115" s="89">
        <f t="shared" si="36"/>
        <v>336750</v>
      </c>
      <c r="Q115" s="89">
        <f t="shared" ref="Q115:Q169" si="37">F115+K115</f>
        <v>48843952</v>
      </c>
      <c r="R115" s="58"/>
      <c r="S115" s="58"/>
      <c r="T115" s="53"/>
    </row>
    <row r="116" spans="1:20" s="12" customFormat="1" ht="85.7" customHeight="1">
      <c r="A116" s="78" t="s">
        <v>146</v>
      </c>
      <c r="B116" s="78" t="s">
        <v>268</v>
      </c>
      <c r="C116" s="78" t="s">
        <v>53</v>
      </c>
      <c r="D116" s="33" t="s">
        <v>405</v>
      </c>
      <c r="E116" s="30" t="s">
        <v>2</v>
      </c>
      <c r="F116" s="89">
        <f t="shared" si="21"/>
        <v>3161200</v>
      </c>
      <c r="G116" s="89">
        <f>2191200+970000</f>
        <v>3161200</v>
      </c>
      <c r="H116" s="90">
        <f>1713600+800000</f>
        <v>2513600</v>
      </c>
      <c r="I116" s="90">
        <v>52000</v>
      </c>
      <c r="J116" s="90"/>
      <c r="K116" s="89">
        <f t="shared" ref="K116:K126" si="38">M116+P116</f>
        <v>10000</v>
      </c>
      <c r="L116" s="89"/>
      <c r="M116" s="90">
        <v>10000</v>
      </c>
      <c r="N116" s="89"/>
      <c r="O116" s="90"/>
      <c r="P116" s="90">
        <f>L116</f>
        <v>0</v>
      </c>
      <c r="Q116" s="89">
        <f t="shared" si="37"/>
        <v>3171200</v>
      </c>
      <c r="R116" s="58"/>
      <c r="S116" s="58"/>
      <c r="T116" s="53"/>
    </row>
    <row r="117" spans="1:20" s="12" customFormat="1" ht="63" customHeight="1">
      <c r="A117" s="78" t="s">
        <v>205</v>
      </c>
      <c r="B117" s="78" t="s">
        <v>225</v>
      </c>
      <c r="C117" s="78" t="s">
        <v>62</v>
      </c>
      <c r="D117" s="33" t="s">
        <v>109</v>
      </c>
      <c r="E117" s="30"/>
      <c r="F117" s="89">
        <f t="shared" si="21"/>
        <v>140000</v>
      </c>
      <c r="G117" s="89">
        <f>50000+90000</f>
        <v>140000</v>
      </c>
      <c r="H117" s="90"/>
      <c r="I117" s="90"/>
      <c r="J117" s="90"/>
      <c r="K117" s="89">
        <f t="shared" si="38"/>
        <v>0</v>
      </c>
      <c r="L117" s="89"/>
      <c r="M117" s="90"/>
      <c r="N117" s="89"/>
      <c r="O117" s="90"/>
      <c r="P117" s="90"/>
      <c r="Q117" s="89">
        <f t="shared" si="37"/>
        <v>140000</v>
      </c>
      <c r="R117" s="58"/>
      <c r="S117" s="58"/>
      <c r="T117" s="53"/>
    </row>
    <row r="118" spans="1:20" s="12" customFormat="1" ht="63" customHeight="1">
      <c r="A118" s="78" t="s">
        <v>384</v>
      </c>
      <c r="B118" s="78" t="s">
        <v>385</v>
      </c>
      <c r="C118" s="81" t="s">
        <v>65</v>
      </c>
      <c r="D118" s="48" t="s">
        <v>411</v>
      </c>
      <c r="E118" s="39"/>
      <c r="F118" s="89">
        <f t="shared" si="21"/>
        <v>25274502</v>
      </c>
      <c r="G118" s="89">
        <f>19390100+5850000+54402+30000-50000</f>
        <v>25274502</v>
      </c>
      <c r="H118" s="90">
        <f>14098500+4800000</f>
        <v>18898500</v>
      </c>
      <c r="I118" s="90">
        <f>2149000-50000</f>
        <v>2099000</v>
      </c>
      <c r="J118" s="90"/>
      <c r="K118" s="89">
        <f>M118+P118</f>
        <v>870000</v>
      </c>
      <c r="L118" s="89">
        <f>20000</f>
        <v>20000</v>
      </c>
      <c r="M118" s="90">
        <v>850000</v>
      </c>
      <c r="N118" s="89">
        <v>215000</v>
      </c>
      <c r="O118" s="90"/>
      <c r="P118" s="90">
        <f>L118</f>
        <v>20000</v>
      </c>
      <c r="Q118" s="89">
        <f>F118+K118</f>
        <v>26144502</v>
      </c>
      <c r="R118" s="58"/>
      <c r="S118" s="58"/>
      <c r="T118" s="53"/>
    </row>
    <row r="119" spans="1:20" s="12" customFormat="1" ht="63" customHeight="1">
      <c r="A119" s="78" t="s">
        <v>147</v>
      </c>
      <c r="B119" s="78" t="s">
        <v>317</v>
      </c>
      <c r="C119" s="78" t="s">
        <v>94</v>
      </c>
      <c r="D119" s="25" t="s">
        <v>148</v>
      </c>
      <c r="E119" s="30" t="s">
        <v>9</v>
      </c>
      <c r="F119" s="89">
        <f t="shared" si="21"/>
        <v>6359400</v>
      </c>
      <c r="G119" s="89">
        <f>4830600+100000+1400000+30000-1200</f>
        <v>6359400</v>
      </c>
      <c r="H119" s="90">
        <f>3167800+1150000</f>
        <v>4317800</v>
      </c>
      <c r="I119" s="90">
        <f>912600-1200-8200</f>
        <v>903200</v>
      </c>
      <c r="J119" s="90"/>
      <c r="K119" s="89">
        <f t="shared" si="38"/>
        <v>75000</v>
      </c>
      <c r="L119" s="89">
        <f>50000</f>
        <v>50000</v>
      </c>
      <c r="M119" s="89">
        <v>25000</v>
      </c>
      <c r="N119" s="90"/>
      <c r="O119" s="90"/>
      <c r="P119" s="90">
        <f>L119</f>
        <v>50000</v>
      </c>
      <c r="Q119" s="89">
        <f t="shared" si="37"/>
        <v>6434400</v>
      </c>
      <c r="R119" s="58"/>
      <c r="S119" s="58"/>
      <c r="T119" s="53"/>
    </row>
    <row r="120" spans="1:20" s="12" customFormat="1" ht="63" customHeight="1">
      <c r="A120" s="78" t="s">
        <v>149</v>
      </c>
      <c r="B120" s="78" t="s">
        <v>318</v>
      </c>
      <c r="C120" s="78" t="s">
        <v>94</v>
      </c>
      <c r="D120" s="25" t="s">
        <v>150</v>
      </c>
      <c r="E120" s="30" t="s">
        <v>10</v>
      </c>
      <c r="F120" s="89">
        <f t="shared" si="21"/>
        <v>5900900</v>
      </c>
      <c r="G120" s="89">
        <f>4478400+1270000+150000+25000-22500</f>
        <v>5900900</v>
      </c>
      <c r="H120" s="90">
        <f>3041000+1050000</f>
        <v>4091000</v>
      </c>
      <c r="I120" s="90">
        <f>665000-25000-22500</f>
        <v>617500</v>
      </c>
      <c r="J120" s="90"/>
      <c r="K120" s="89">
        <f t="shared" si="38"/>
        <v>76000</v>
      </c>
      <c r="L120" s="89">
        <f>1530000-1530000</f>
        <v>0</v>
      </c>
      <c r="M120" s="89">
        <v>76000</v>
      </c>
      <c r="N120" s="90">
        <v>20100</v>
      </c>
      <c r="O120" s="90"/>
      <c r="P120" s="90">
        <f>L120</f>
        <v>0</v>
      </c>
      <c r="Q120" s="89">
        <f t="shared" si="37"/>
        <v>5976900</v>
      </c>
      <c r="R120" s="58"/>
      <c r="S120" s="58"/>
      <c r="T120" s="53"/>
    </row>
    <row r="121" spans="1:20" s="12" customFormat="1" ht="87" customHeight="1">
      <c r="A121" s="78" t="s">
        <v>152</v>
      </c>
      <c r="B121" s="78" t="s">
        <v>319</v>
      </c>
      <c r="C121" s="78" t="s">
        <v>75</v>
      </c>
      <c r="D121" s="25" t="s">
        <v>151</v>
      </c>
      <c r="E121" s="30" t="s">
        <v>11</v>
      </c>
      <c r="F121" s="89">
        <f t="shared" si="21"/>
        <v>3741800</v>
      </c>
      <c r="G121" s="89">
        <f>2861800+850000+30000</f>
        <v>3741800</v>
      </c>
      <c r="H121" s="90">
        <f>1742000+700000</f>
        <v>2442000</v>
      </c>
      <c r="I121" s="90">
        <v>682500</v>
      </c>
      <c r="J121" s="90"/>
      <c r="K121" s="89">
        <f t="shared" si="38"/>
        <v>131750</v>
      </c>
      <c r="L121" s="89">
        <f>46750</f>
        <v>46750</v>
      </c>
      <c r="M121" s="89">
        <v>85000</v>
      </c>
      <c r="N121" s="90">
        <v>5000</v>
      </c>
      <c r="O121" s="90"/>
      <c r="P121" s="90">
        <f>L121</f>
        <v>46750</v>
      </c>
      <c r="Q121" s="89">
        <f t="shared" si="37"/>
        <v>3873550</v>
      </c>
      <c r="R121" s="58"/>
      <c r="S121" s="58"/>
      <c r="T121" s="53"/>
    </row>
    <row r="122" spans="1:20" s="12" customFormat="1" ht="58.7" customHeight="1">
      <c r="A122" s="78" t="s">
        <v>187</v>
      </c>
      <c r="B122" s="78" t="s">
        <v>320</v>
      </c>
      <c r="C122" s="78" t="s">
        <v>74</v>
      </c>
      <c r="D122" s="25" t="s">
        <v>188</v>
      </c>
      <c r="E122" s="30"/>
      <c r="F122" s="89">
        <f t="shared" si="21"/>
        <v>1972600</v>
      </c>
      <c r="G122" s="89">
        <f>1412600+410000+150000</f>
        <v>1972600</v>
      </c>
      <c r="H122" s="90">
        <f>1053000+340000+130000</f>
        <v>1523000</v>
      </c>
      <c r="I122" s="90">
        <v>57500</v>
      </c>
      <c r="J122" s="90"/>
      <c r="K122" s="89">
        <f t="shared" si="38"/>
        <v>0</v>
      </c>
      <c r="L122" s="89"/>
      <c r="M122" s="90"/>
      <c r="N122" s="89"/>
      <c r="O122" s="90"/>
      <c r="P122" s="90"/>
      <c r="Q122" s="89">
        <f t="shared" si="37"/>
        <v>1972600</v>
      </c>
      <c r="R122" s="58"/>
      <c r="S122" s="58"/>
      <c r="T122" s="53"/>
    </row>
    <row r="123" spans="1:20" s="12" customFormat="1" ht="55.9" customHeight="1">
      <c r="A123" s="78" t="s">
        <v>189</v>
      </c>
      <c r="B123" s="78" t="s">
        <v>321</v>
      </c>
      <c r="C123" s="78" t="s">
        <v>74</v>
      </c>
      <c r="D123" s="25" t="s">
        <v>190</v>
      </c>
      <c r="E123" s="30"/>
      <c r="F123" s="89">
        <f t="shared" si="21"/>
        <v>611300</v>
      </c>
      <c r="G123" s="89">
        <f>631300-45000-34000-41000+100000</f>
        <v>611300</v>
      </c>
      <c r="H123" s="90"/>
      <c r="I123" s="90"/>
      <c r="J123" s="90"/>
      <c r="K123" s="89">
        <f t="shared" si="38"/>
        <v>150000</v>
      </c>
      <c r="L123" s="89">
        <f>30000+45000+34000+41000</f>
        <v>150000</v>
      </c>
      <c r="M123" s="90"/>
      <c r="N123" s="89"/>
      <c r="O123" s="90"/>
      <c r="P123" s="90">
        <f>L123</f>
        <v>150000</v>
      </c>
      <c r="Q123" s="89">
        <f t="shared" si="37"/>
        <v>761300</v>
      </c>
      <c r="R123" s="58"/>
      <c r="S123" s="58"/>
      <c r="T123" s="53"/>
    </row>
    <row r="124" spans="1:20" s="12" customFormat="1" ht="63.75" hidden="1" customHeight="1">
      <c r="A124" s="78" t="s">
        <v>248</v>
      </c>
      <c r="B124" s="78" t="s">
        <v>281</v>
      </c>
      <c r="C124" s="78" t="s">
        <v>170</v>
      </c>
      <c r="D124" s="25" t="s">
        <v>265</v>
      </c>
      <c r="E124" s="30"/>
      <c r="F124" s="89">
        <f t="shared" si="21"/>
        <v>0</v>
      </c>
      <c r="G124" s="89"/>
      <c r="H124" s="90"/>
      <c r="I124" s="90"/>
      <c r="J124" s="90"/>
      <c r="K124" s="89">
        <f t="shared" si="38"/>
        <v>0</v>
      </c>
      <c r="L124" s="89"/>
      <c r="M124" s="90"/>
      <c r="N124" s="89"/>
      <c r="O124" s="90"/>
      <c r="P124" s="90"/>
      <c r="Q124" s="89">
        <f>F124+K124</f>
        <v>0</v>
      </c>
      <c r="R124" s="58"/>
      <c r="S124" s="58"/>
      <c r="T124" s="53"/>
    </row>
    <row r="125" spans="1:20" s="4" customFormat="1" ht="63.75" customHeight="1">
      <c r="A125" s="78" t="s">
        <v>352</v>
      </c>
      <c r="B125" s="78" t="s">
        <v>343</v>
      </c>
      <c r="C125" s="78" t="s">
        <v>344</v>
      </c>
      <c r="D125" s="25" t="s">
        <v>345</v>
      </c>
      <c r="E125" s="30"/>
      <c r="F125" s="89">
        <f t="shared" si="21"/>
        <v>288700</v>
      </c>
      <c r="G125" s="92">
        <f>286200+2500</f>
        <v>288700</v>
      </c>
      <c r="H125" s="93"/>
      <c r="I125" s="93"/>
      <c r="J125" s="93"/>
      <c r="K125" s="89">
        <f t="shared" si="38"/>
        <v>70000</v>
      </c>
      <c r="L125" s="92">
        <f>50000+20000</f>
        <v>70000</v>
      </c>
      <c r="M125" s="92"/>
      <c r="N125" s="92"/>
      <c r="O125" s="93"/>
      <c r="P125" s="93">
        <f>L125</f>
        <v>70000</v>
      </c>
      <c r="Q125" s="89">
        <f>F125+K125</f>
        <v>358700</v>
      </c>
      <c r="R125" s="57"/>
      <c r="S125" s="57"/>
      <c r="T125" s="56"/>
    </row>
    <row r="126" spans="1:20" s="4" customFormat="1" ht="93" customHeight="1">
      <c r="A126" s="78" t="s">
        <v>450</v>
      </c>
      <c r="B126" s="78" t="s">
        <v>285</v>
      </c>
      <c r="C126" s="78" t="s">
        <v>61</v>
      </c>
      <c r="D126" s="25" t="s">
        <v>215</v>
      </c>
      <c r="E126" s="30"/>
      <c r="F126" s="89">
        <f t="shared" si="21"/>
        <v>10800</v>
      </c>
      <c r="G126" s="92">
        <f>9600+1200</f>
        <v>10800</v>
      </c>
      <c r="H126" s="93"/>
      <c r="I126" s="93"/>
      <c r="J126" s="93"/>
      <c r="K126" s="89">
        <f t="shared" si="38"/>
        <v>0</v>
      </c>
      <c r="L126" s="92"/>
      <c r="M126" s="92"/>
      <c r="N126" s="92"/>
      <c r="O126" s="93"/>
      <c r="P126" s="93"/>
      <c r="Q126" s="89">
        <f>F126+K126</f>
        <v>10800</v>
      </c>
      <c r="R126" s="57"/>
      <c r="S126" s="57"/>
      <c r="T126" s="56"/>
    </row>
    <row r="127" spans="1:20" s="12" customFormat="1" ht="101.45" customHeight="1">
      <c r="A127" s="65" t="s">
        <v>119</v>
      </c>
      <c r="B127" s="65" t="s">
        <v>119</v>
      </c>
      <c r="C127" s="71"/>
      <c r="D127" s="70" t="s">
        <v>484</v>
      </c>
      <c r="E127" s="72"/>
      <c r="F127" s="111">
        <f t="shared" si="21"/>
        <v>26165008</v>
      </c>
      <c r="G127" s="68">
        <f t="shared" ref="G127:P127" si="39">G128</f>
        <v>26165008</v>
      </c>
      <c r="H127" s="68">
        <f t="shared" si="39"/>
        <v>14826950</v>
      </c>
      <c r="I127" s="73">
        <f t="shared" si="39"/>
        <v>2526900</v>
      </c>
      <c r="J127" s="68">
        <f t="shared" si="39"/>
        <v>0</v>
      </c>
      <c r="K127" s="68">
        <f t="shared" si="39"/>
        <v>152400</v>
      </c>
      <c r="L127" s="68">
        <f t="shared" si="39"/>
        <v>52000</v>
      </c>
      <c r="M127" s="68">
        <f t="shared" si="39"/>
        <v>100400</v>
      </c>
      <c r="N127" s="68">
        <f t="shared" si="39"/>
        <v>65000</v>
      </c>
      <c r="O127" s="68">
        <f t="shared" si="39"/>
        <v>0</v>
      </c>
      <c r="P127" s="68">
        <f t="shared" si="39"/>
        <v>52000</v>
      </c>
      <c r="Q127" s="68">
        <f t="shared" si="37"/>
        <v>26317408</v>
      </c>
      <c r="R127" s="54"/>
      <c r="S127" s="58"/>
      <c r="T127" s="53"/>
    </row>
    <row r="128" spans="1:20" s="12" customFormat="1" ht="53.1" customHeight="1">
      <c r="A128" s="82" t="s">
        <v>120</v>
      </c>
      <c r="B128" s="82" t="s">
        <v>120</v>
      </c>
      <c r="C128" s="78"/>
      <c r="D128" s="31" t="str">
        <f>D127</f>
        <v>Відділ з питань фізичної культури та спорту міської ради</v>
      </c>
      <c r="E128" s="29"/>
      <c r="F128" s="89">
        <f t="shared" si="21"/>
        <v>26165008</v>
      </c>
      <c r="G128" s="89">
        <f t="shared" ref="G128:P128" si="40">SUM(G129:G138)</f>
        <v>26165008</v>
      </c>
      <c r="H128" s="89">
        <f t="shared" si="40"/>
        <v>14826950</v>
      </c>
      <c r="I128" s="89">
        <f t="shared" si="40"/>
        <v>2526900</v>
      </c>
      <c r="J128" s="89">
        <f t="shared" si="40"/>
        <v>0</v>
      </c>
      <c r="K128" s="89">
        <f t="shared" si="40"/>
        <v>152400</v>
      </c>
      <c r="L128" s="89">
        <f t="shared" si="40"/>
        <v>52000</v>
      </c>
      <c r="M128" s="89">
        <f t="shared" si="40"/>
        <v>100400</v>
      </c>
      <c r="N128" s="89">
        <f t="shared" si="40"/>
        <v>65000</v>
      </c>
      <c r="O128" s="89">
        <f t="shared" si="40"/>
        <v>0</v>
      </c>
      <c r="P128" s="89">
        <f t="shared" si="40"/>
        <v>52000</v>
      </c>
      <c r="Q128" s="89">
        <f t="shared" si="37"/>
        <v>26317408</v>
      </c>
      <c r="R128" s="58"/>
      <c r="S128" s="58"/>
      <c r="T128" s="53"/>
    </row>
    <row r="129" spans="1:20" s="12" customFormat="1" ht="85.15" customHeight="1">
      <c r="A129" s="78" t="s">
        <v>121</v>
      </c>
      <c r="B129" s="78" t="s">
        <v>268</v>
      </c>
      <c r="C129" s="78" t="s">
        <v>53</v>
      </c>
      <c r="D129" s="33" t="s">
        <v>405</v>
      </c>
      <c r="E129" s="30"/>
      <c r="F129" s="89">
        <f t="shared" ref="F129:F180" si="41">G129+J129</f>
        <v>2262900</v>
      </c>
      <c r="G129" s="89">
        <f>1762900+500000</f>
        <v>2262900</v>
      </c>
      <c r="H129" s="90">
        <f>1402200+410000</f>
        <v>1812200</v>
      </c>
      <c r="I129" s="90">
        <v>37700</v>
      </c>
      <c r="J129" s="90"/>
      <c r="K129" s="89">
        <f>M129+P129</f>
        <v>0</v>
      </c>
      <c r="L129" s="89"/>
      <c r="M129" s="90"/>
      <c r="N129" s="89"/>
      <c r="O129" s="90"/>
      <c r="P129" s="90">
        <f t="shared" ref="P129:P136" si="42">L129</f>
        <v>0</v>
      </c>
      <c r="Q129" s="89">
        <f t="shared" si="37"/>
        <v>2262900</v>
      </c>
      <c r="R129" s="58"/>
      <c r="S129" s="58"/>
      <c r="T129" s="53"/>
    </row>
    <row r="130" spans="1:20" s="12" customFormat="1" ht="54.75" customHeight="1">
      <c r="A130" s="78" t="s">
        <v>242</v>
      </c>
      <c r="B130" s="78" t="s">
        <v>225</v>
      </c>
      <c r="C130" s="80" t="s">
        <v>62</v>
      </c>
      <c r="D130" s="42" t="s">
        <v>109</v>
      </c>
      <c r="E130" s="30"/>
      <c r="F130" s="89">
        <f t="shared" si="41"/>
        <v>60000</v>
      </c>
      <c r="G130" s="89">
        <f>90000-30000</f>
        <v>60000</v>
      </c>
      <c r="H130" s="90"/>
      <c r="I130" s="90"/>
      <c r="J130" s="90"/>
      <c r="K130" s="89">
        <f>M130+P130</f>
        <v>0</v>
      </c>
      <c r="L130" s="89"/>
      <c r="M130" s="90"/>
      <c r="N130" s="89"/>
      <c r="O130" s="90"/>
      <c r="P130" s="90">
        <f t="shared" si="42"/>
        <v>0</v>
      </c>
      <c r="Q130" s="89">
        <f t="shared" si="37"/>
        <v>60000</v>
      </c>
      <c r="R130" s="58"/>
      <c r="S130" s="58"/>
      <c r="T130" s="53"/>
    </row>
    <row r="131" spans="1:20" s="12" customFormat="1" ht="59.1" customHeight="1">
      <c r="A131" s="78" t="s">
        <v>167</v>
      </c>
      <c r="B131" s="78" t="s">
        <v>322</v>
      </c>
      <c r="C131" s="78" t="s">
        <v>67</v>
      </c>
      <c r="D131" s="25" t="s">
        <v>80</v>
      </c>
      <c r="E131" s="30"/>
      <c r="F131" s="89">
        <f t="shared" si="41"/>
        <v>943400</v>
      </c>
      <c r="G131" s="89">
        <f>910400+8000+33000+100000-228000+120000</f>
        <v>943400</v>
      </c>
      <c r="H131" s="90"/>
      <c r="I131" s="90"/>
      <c r="J131" s="90"/>
      <c r="K131" s="89">
        <f t="shared" ref="K131:K138" si="43">M131+P131</f>
        <v>0</v>
      </c>
      <c r="L131" s="89">
        <f>15000-15000</f>
        <v>0</v>
      </c>
      <c r="M131" s="90"/>
      <c r="N131" s="89"/>
      <c r="O131" s="90"/>
      <c r="P131" s="90">
        <f t="shared" si="42"/>
        <v>0</v>
      </c>
      <c r="Q131" s="89">
        <f t="shared" si="37"/>
        <v>943400</v>
      </c>
      <c r="R131" s="58"/>
      <c r="S131" s="58"/>
      <c r="T131" s="53"/>
    </row>
    <row r="132" spans="1:20" s="12" customFormat="1" ht="56.45" customHeight="1">
      <c r="A132" s="78" t="s">
        <v>122</v>
      </c>
      <c r="B132" s="78" t="s">
        <v>323</v>
      </c>
      <c r="C132" s="78" t="s">
        <v>67</v>
      </c>
      <c r="D132" s="25" t="s">
        <v>81</v>
      </c>
      <c r="E132" s="30"/>
      <c r="F132" s="89">
        <f t="shared" si="41"/>
        <v>478000</v>
      </c>
      <c r="G132" s="89">
        <f>241000+7000+55000+30000+95000+50000</f>
        <v>478000</v>
      </c>
      <c r="H132" s="90"/>
      <c r="I132" s="90"/>
      <c r="J132" s="90"/>
      <c r="K132" s="89">
        <f t="shared" si="43"/>
        <v>0</v>
      </c>
      <c r="L132" s="89"/>
      <c r="M132" s="90"/>
      <c r="N132" s="89"/>
      <c r="O132" s="90"/>
      <c r="P132" s="90">
        <f t="shared" si="42"/>
        <v>0</v>
      </c>
      <c r="Q132" s="89">
        <f t="shared" si="37"/>
        <v>478000</v>
      </c>
      <c r="R132" s="58"/>
      <c r="S132" s="58"/>
      <c r="T132" s="53"/>
    </row>
    <row r="133" spans="1:20" s="12" customFormat="1" ht="83.25" customHeight="1">
      <c r="A133" s="78" t="s">
        <v>369</v>
      </c>
      <c r="B133" s="78" t="s">
        <v>287</v>
      </c>
      <c r="C133" s="81" t="s">
        <v>67</v>
      </c>
      <c r="D133" s="129" t="s">
        <v>456</v>
      </c>
      <c r="E133" s="30"/>
      <c r="F133" s="89">
        <f t="shared" si="41"/>
        <v>14328450</v>
      </c>
      <c r="G133" s="89">
        <f>12284500+1200000+25000+100000+718950</f>
        <v>14328450</v>
      </c>
      <c r="H133" s="90">
        <f>8911100+1000000+618950</f>
        <v>10530050</v>
      </c>
      <c r="I133" s="90">
        <v>1407500</v>
      </c>
      <c r="J133" s="90"/>
      <c r="K133" s="89">
        <f t="shared" si="43"/>
        <v>52000</v>
      </c>
      <c r="L133" s="89">
        <f>52000</f>
        <v>52000</v>
      </c>
      <c r="M133" s="90"/>
      <c r="N133" s="89"/>
      <c r="O133" s="90"/>
      <c r="P133" s="90">
        <f t="shared" si="42"/>
        <v>52000</v>
      </c>
      <c r="Q133" s="89">
        <f t="shared" si="37"/>
        <v>14380450</v>
      </c>
      <c r="R133" s="58"/>
      <c r="S133" s="58"/>
      <c r="T133" s="53"/>
    </row>
    <row r="134" spans="1:20" s="12" customFormat="1" ht="83.1" customHeight="1">
      <c r="A134" s="78" t="s">
        <v>124</v>
      </c>
      <c r="B134" s="78" t="s">
        <v>324</v>
      </c>
      <c r="C134" s="78" t="s">
        <v>67</v>
      </c>
      <c r="D134" s="25" t="s">
        <v>82</v>
      </c>
      <c r="E134" s="30"/>
      <c r="F134" s="89">
        <f t="shared" si="41"/>
        <v>3553300</v>
      </c>
      <c r="G134" s="95">
        <f>3003300+450000+100000</f>
        <v>3553300</v>
      </c>
      <c r="H134" s="95"/>
      <c r="I134" s="95"/>
      <c r="J134" s="90"/>
      <c r="K134" s="89">
        <f t="shared" si="43"/>
        <v>0</v>
      </c>
      <c r="L134" s="89"/>
      <c r="M134" s="90"/>
      <c r="N134" s="89"/>
      <c r="O134" s="90"/>
      <c r="P134" s="90">
        <f t="shared" si="42"/>
        <v>0</v>
      </c>
      <c r="Q134" s="89">
        <f t="shared" si="37"/>
        <v>3553300</v>
      </c>
      <c r="R134" s="58"/>
      <c r="S134" s="58"/>
      <c r="T134" s="53"/>
    </row>
    <row r="135" spans="1:20" s="12" customFormat="1" ht="69.75" customHeight="1">
      <c r="A135" s="78" t="s">
        <v>432</v>
      </c>
      <c r="B135" s="78" t="s">
        <v>433</v>
      </c>
      <c r="C135" s="78" t="s">
        <v>67</v>
      </c>
      <c r="D135" s="25" t="s">
        <v>511</v>
      </c>
      <c r="E135" s="30"/>
      <c r="F135" s="89">
        <f t="shared" si="41"/>
        <v>105408</v>
      </c>
      <c r="G135" s="95">
        <f>35136+79056-8784</f>
        <v>105408</v>
      </c>
      <c r="H135" s="95">
        <f>28800+64800-7200</f>
        <v>86400</v>
      </c>
      <c r="I135" s="95"/>
      <c r="J135" s="90"/>
      <c r="K135" s="89">
        <f t="shared" si="43"/>
        <v>0</v>
      </c>
      <c r="L135" s="89"/>
      <c r="M135" s="90"/>
      <c r="N135" s="89"/>
      <c r="O135" s="90"/>
      <c r="P135" s="90"/>
      <c r="Q135" s="89">
        <f t="shared" si="37"/>
        <v>105408</v>
      </c>
      <c r="R135" s="58"/>
      <c r="S135" s="58"/>
      <c r="T135" s="53"/>
    </row>
    <row r="136" spans="1:20" s="12" customFormat="1" ht="108" customHeight="1">
      <c r="A136" s="78" t="s">
        <v>123</v>
      </c>
      <c r="B136" s="78" t="s">
        <v>325</v>
      </c>
      <c r="C136" s="78" t="s">
        <v>67</v>
      </c>
      <c r="D136" s="25" t="s">
        <v>240</v>
      </c>
      <c r="E136" s="44"/>
      <c r="F136" s="89">
        <f t="shared" si="41"/>
        <v>4393550</v>
      </c>
      <c r="G136" s="89">
        <f>3653550+300000+35000+81000+83000+24000+25000+27000+30000+100000+35000</f>
        <v>4393550</v>
      </c>
      <c r="H136" s="90">
        <f>2053300+255000+90000</f>
        <v>2398300</v>
      </c>
      <c r="I136" s="90">
        <v>1081700</v>
      </c>
      <c r="J136" s="90"/>
      <c r="K136" s="89">
        <f t="shared" si="43"/>
        <v>100400</v>
      </c>
      <c r="L136" s="89"/>
      <c r="M136" s="90">
        <v>100400</v>
      </c>
      <c r="N136" s="89">
        <v>65000</v>
      </c>
      <c r="O136" s="90"/>
      <c r="P136" s="90">
        <f t="shared" si="42"/>
        <v>0</v>
      </c>
      <c r="Q136" s="89">
        <f>F136+K136</f>
        <v>4493950</v>
      </c>
      <c r="R136" s="58"/>
      <c r="S136" s="58"/>
      <c r="T136" s="53"/>
    </row>
    <row r="137" spans="1:20" s="12" customFormat="1" ht="48.75" hidden="1" customHeight="1">
      <c r="A137" s="78" t="s">
        <v>227</v>
      </c>
      <c r="B137" s="78" t="s">
        <v>281</v>
      </c>
      <c r="C137" s="78" t="s">
        <v>170</v>
      </c>
      <c r="D137" s="25" t="s">
        <v>224</v>
      </c>
      <c r="E137" s="44"/>
      <c r="F137" s="89">
        <f t="shared" si="41"/>
        <v>0</v>
      </c>
      <c r="G137" s="89"/>
      <c r="H137" s="90"/>
      <c r="I137" s="90"/>
      <c r="J137" s="90"/>
      <c r="K137" s="89">
        <f t="shared" si="43"/>
        <v>0</v>
      </c>
      <c r="L137" s="89"/>
      <c r="M137" s="90"/>
      <c r="N137" s="89"/>
      <c r="O137" s="90"/>
      <c r="P137" s="90">
        <f t="shared" ref="P137:P138" si="44">L137</f>
        <v>0</v>
      </c>
      <c r="Q137" s="89">
        <f t="shared" ref="Q137" si="45">F137+K137</f>
        <v>0</v>
      </c>
      <c r="R137" s="58"/>
      <c r="S137" s="58"/>
      <c r="T137" s="53"/>
    </row>
    <row r="138" spans="1:20" s="4" customFormat="1" ht="66.2" customHeight="1">
      <c r="A138" s="78" t="s">
        <v>353</v>
      </c>
      <c r="B138" s="78" t="s">
        <v>343</v>
      </c>
      <c r="C138" s="78" t="s">
        <v>344</v>
      </c>
      <c r="D138" s="25" t="s">
        <v>345</v>
      </c>
      <c r="E138" s="44"/>
      <c r="F138" s="89">
        <f t="shared" si="41"/>
        <v>40000</v>
      </c>
      <c r="G138" s="89">
        <f>40000</f>
        <v>40000</v>
      </c>
      <c r="H138" s="90"/>
      <c r="I138" s="90"/>
      <c r="J138" s="90"/>
      <c r="K138" s="89">
        <f t="shared" si="43"/>
        <v>0</v>
      </c>
      <c r="L138" s="89"/>
      <c r="M138" s="89"/>
      <c r="N138" s="89"/>
      <c r="O138" s="90"/>
      <c r="P138" s="90">
        <f t="shared" si="44"/>
        <v>0</v>
      </c>
      <c r="Q138" s="89">
        <f>F138+K138</f>
        <v>40000</v>
      </c>
      <c r="R138" s="57"/>
      <c r="S138" s="57"/>
      <c r="T138" s="56"/>
    </row>
    <row r="139" spans="1:20" s="12" customFormat="1" ht="96" customHeight="1">
      <c r="A139" s="65" t="s">
        <v>153</v>
      </c>
      <c r="B139" s="65" t="s">
        <v>153</v>
      </c>
      <c r="C139" s="65"/>
      <c r="D139" s="70" t="s">
        <v>30</v>
      </c>
      <c r="E139" s="74" t="s">
        <v>30</v>
      </c>
      <c r="F139" s="111">
        <f t="shared" si="41"/>
        <v>124372060</v>
      </c>
      <c r="G139" s="68">
        <f>G140</f>
        <v>101359257</v>
      </c>
      <c r="H139" s="68">
        <f>H140</f>
        <v>8400000</v>
      </c>
      <c r="I139" s="68">
        <f>I140</f>
        <v>9362800</v>
      </c>
      <c r="J139" s="68">
        <f t="shared" ref="J139:P139" si="46">J140</f>
        <v>23012803</v>
      </c>
      <c r="K139" s="68">
        <f t="shared" si="46"/>
        <v>48124498.160000004</v>
      </c>
      <c r="L139" s="68">
        <f t="shared" si="46"/>
        <v>42910915</v>
      </c>
      <c r="M139" s="68">
        <f t="shared" si="46"/>
        <v>934282.19</v>
      </c>
      <c r="N139" s="68">
        <f t="shared" si="46"/>
        <v>0</v>
      </c>
      <c r="O139" s="68">
        <f t="shared" si="46"/>
        <v>0</v>
      </c>
      <c r="P139" s="68">
        <f t="shared" si="46"/>
        <v>47190215.969999999</v>
      </c>
      <c r="Q139" s="68">
        <f t="shared" si="37"/>
        <v>172496558.16</v>
      </c>
      <c r="R139" s="58"/>
      <c r="S139" s="58"/>
      <c r="T139" s="53"/>
    </row>
    <row r="140" spans="1:20" s="13" customFormat="1" ht="80.099999999999994" customHeight="1">
      <c r="A140" s="86" t="s">
        <v>154</v>
      </c>
      <c r="B140" s="86" t="s">
        <v>154</v>
      </c>
      <c r="C140" s="85"/>
      <c r="D140" s="102" t="str">
        <f>D139</f>
        <v>Управління житлово-комунального господарства та будівництва міської ради</v>
      </c>
      <c r="E140" s="32"/>
      <c r="F140" s="89">
        <f t="shared" si="41"/>
        <v>124372060</v>
      </c>
      <c r="G140" s="96">
        <f>SUM(G141:G169)</f>
        <v>101359257</v>
      </c>
      <c r="H140" s="96">
        <f>SUM(H141:H169)</f>
        <v>8400000</v>
      </c>
      <c r="I140" s="96">
        <f>SUM(I141:I169)</f>
        <v>9362800</v>
      </c>
      <c r="J140" s="96">
        <f>SUM(J141:J169)</f>
        <v>23012803</v>
      </c>
      <c r="K140" s="96">
        <f t="shared" ref="K140:P140" si="47">SUM(K141:K169)</f>
        <v>48124498.160000004</v>
      </c>
      <c r="L140" s="96">
        <f t="shared" si="47"/>
        <v>42910915</v>
      </c>
      <c r="M140" s="96">
        <f t="shared" si="47"/>
        <v>934282.19</v>
      </c>
      <c r="N140" s="96">
        <f t="shared" si="47"/>
        <v>0</v>
      </c>
      <c r="O140" s="96">
        <f t="shared" si="47"/>
        <v>0</v>
      </c>
      <c r="P140" s="96">
        <f t="shared" si="47"/>
        <v>47190215.969999999</v>
      </c>
      <c r="Q140" s="89">
        <f t="shared" si="37"/>
        <v>172496558.16</v>
      </c>
      <c r="R140" s="59"/>
      <c r="S140" s="59"/>
      <c r="T140" s="60"/>
    </row>
    <row r="141" spans="1:20" s="4" customFormat="1" ht="84.2" customHeight="1">
      <c r="A141" s="78" t="s">
        <v>155</v>
      </c>
      <c r="B141" s="78" t="s">
        <v>268</v>
      </c>
      <c r="C141" s="78" t="s">
        <v>53</v>
      </c>
      <c r="D141" s="33" t="s">
        <v>375</v>
      </c>
      <c r="E141" s="30" t="s">
        <v>2</v>
      </c>
      <c r="F141" s="89">
        <f t="shared" si="41"/>
        <v>11065600</v>
      </c>
      <c r="G141" s="89">
        <v>11065600</v>
      </c>
      <c r="H141" s="90">
        <v>8400000</v>
      </c>
      <c r="I141" s="90">
        <v>360800</v>
      </c>
      <c r="J141" s="90"/>
      <c r="K141" s="89">
        <f t="shared" ref="K141:K169" si="48">M141+P141</f>
        <v>240000</v>
      </c>
      <c r="L141" s="89"/>
      <c r="M141" s="97">
        <v>165000</v>
      </c>
      <c r="N141" s="89"/>
      <c r="O141" s="90"/>
      <c r="P141" s="90">
        <v>75000</v>
      </c>
      <c r="Q141" s="89">
        <f t="shared" si="37"/>
        <v>11305600</v>
      </c>
      <c r="R141" s="57"/>
      <c r="S141" s="57"/>
      <c r="T141" s="56"/>
    </row>
    <row r="142" spans="1:20" s="4" customFormat="1" ht="51.6" customHeight="1">
      <c r="A142" s="78" t="s">
        <v>226</v>
      </c>
      <c r="B142" s="78" t="s">
        <v>225</v>
      </c>
      <c r="C142" s="78" t="s">
        <v>62</v>
      </c>
      <c r="D142" s="33" t="s">
        <v>109</v>
      </c>
      <c r="E142" s="30"/>
      <c r="F142" s="89">
        <f t="shared" si="41"/>
        <v>170000</v>
      </c>
      <c r="G142" s="89">
        <f>90000+10000+70000</f>
        <v>170000</v>
      </c>
      <c r="H142" s="90"/>
      <c r="I142" s="90"/>
      <c r="J142" s="90"/>
      <c r="K142" s="89">
        <f t="shared" si="48"/>
        <v>0</v>
      </c>
      <c r="L142" s="89">
        <f>400000-400000</f>
        <v>0</v>
      </c>
      <c r="M142" s="90"/>
      <c r="N142" s="89"/>
      <c r="O142" s="90"/>
      <c r="P142" s="90">
        <f>L142</f>
        <v>0</v>
      </c>
      <c r="Q142" s="89">
        <f t="shared" si="37"/>
        <v>170000</v>
      </c>
      <c r="R142" s="57"/>
      <c r="S142" s="57"/>
      <c r="T142" s="56"/>
    </row>
    <row r="143" spans="1:20" s="4" customFormat="1" ht="67.349999999999994" customHeight="1">
      <c r="A143" s="78" t="s">
        <v>446</v>
      </c>
      <c r="B143" s="78" t="s">
        <v>441</v>
      </c>
      <c r="C143" s="78" t="s">
        <v>66</v>
      </c>
      <c r="D143" s="25" t="s">
        <v>447</v>
      </c>
      <c r="E143" s="30"/>
      <c r="F143" s="89">
        <f t="shared" si="41"/>
        <v>0</v>
      </c>
      <c r="G143" s="89"/>
      <c r="H143" s="90"/>
      <c r="I143" s="90"/>
      <c r="J143" s="90"/>
      <c r="K143" s="89">
        <f t="shared" si="48"/>
        <v>1202000</v>
      </c>
      <c r="L143" s="89">
        <f>900000+2000+300000</f>
        <v>1202000</v>
      </c>
      <c r="M143" s="90"/>
      <c r="N143" s="89"/>
      <c r="O143" s="90"/>
      <c r="P143" s="90">
        <f t="shared" ref="P143:P148" si="49">L143</f>
        <v>1202000</v>
      </c>
      <c r="Q143" s="89">
        <f t="shared" si="37"/>
        <v>1202000</v>
      </c>
      <c r="R143" s="57"/>
      <c r="S143" s="57"/>
      <c r="T143" s="56"/>
    </row>
    <row r="144" spans="1:20" s="4" customFormat="1" ht="65.25" customHeight="1">
      <c r="A144" s="78" t="s">
        <v>245</v>
      </c>
      <c r="B144" s="78" t="s">
        <v>315</v>
      </c>
      <c r="C144" s="78" t="s">
        <v>244</v>
      </c>
      <c r="D144" s="25" t="s">
        <v>243</v>
      </c>
      <c r="E144" s="30"/>
      <c r="F144" s="89">
        <f t="shared" si="41"/>
        <v>240000</v>
      </c>
      <c r="G144" s="89">
        <v>240000</v>
      </c>
      <c r="H144" s="90"/>
      <c r="I144" s="90"/>
      <c r="J144" s="90"/>
      <c r="K144" s="89">
        <f t="shared" si="48"/>
        <v>0</v>
      </c>
      <c r="L144" s="89"/>
      <c r="M144" s="90"/>
      <c r="N144" s="89"/>
      <c r="O144" s="90"/>
      <c r="P144" s="90">
        <f t="shared" si="49"/>
        <v>0</v>
      </c>
      <c r="Q144" s="89">
        <f t="shared" si="37"/>
        <v>240000</v>
      </c>
      <c r="R144" s="57"/>
      <c r="S144" s="57"/>
      <c r="T144" s="56"/>
    </row>
    <row r="145" spans="1:20" s="4" customFormat="1" ht="83.25" hidden="1" customHeight="1">
      <c r="A145" s="78" t="s">
        <v>255</v>
      </c>
      <c r="B145" s="78" t="s">
        <v>326</v>
      </c>
      <c r="C145" s="78" t="s">
        <v>67</v>
      </c>
      <c r="D145" s="25" t="s">
        <v>256</v>
      </c>
      <c r="E145" s="30"/>
      <c r="F145" s="89">
        <f t="shared" si="41"/>
        <v>0</v>
      </c>
      <c r="G145" s="89"/>
      <c r="H145" s="90"/>
      <c r="I145" s="90"/>
      <c r="J145" s="90"/>
      <c r="K145" s="89">
        <f t="shared" si="48"/>
        <v>0</v>
      </c>
      <c r="L145" s="89"/>
      <c r="M145" s="90"/>
      <c r="N145" s="89"/>
      <c r="O145" s="90"/>
      <c r="P145" s="90">
        <f t="shared" si="49"/>
        <v>0</v>
      </c>
      <c r="Q145" s="89">
        <f t="shared" si="37"/>
        <v>0</v>
      </c>
      <c r="R145" s="57"/>
      <c r="S145" s="57"/>
      <c r="T145" s="56"/>
    </row>
    <row r="146" spans="1:20" s="11" customFormat="1" ht="83.25" hidden="1" customHeight="1">
      <c r="A146" s="78" t="s">
        <v>156</v>
      </c>
      <c r="B146" s="78" t="s">
        <v>327</v>
      </c>
      <c r="C146" s="78" t="s">
        <v>59</v>
      </c>
      <c r="D146" s="25" t="s">
        <v>230</v>
      </c>
      <c r="E146" s="45" t="s">
        <v>40</v>
      </c>
      <c r="F146" s="89">
        <f t="shared" si="41"/>
        <v>0</v>
      </c>
      <c r="G146" s="89"/>
      <c r="H146" s="90"/>
      <c r="I146" s="90"/>
      <c r="J146" s="90"/>
      <c r="K146" s="89">
        <f t="shared" si="48"/>
        <v>0</v>
      </c>
      <c r="L146" s="89"/>
      <c r="M146" s="90"/>
      <c r="N146" s="89"/>
      <c r="O146" s="90"/>
      <c r="P146" s="90">
        <f t="shared" si="49"/>
        <v>0</v>
      </c>
      <c r="Q146" s="89">
        <f t="shared" si="37"/>
        <v>0</v>
      </c>
      <c r="R146" s="55"/>
      <c r="S146" s="55"/>
      <c r="T146" s="56"/>
    </row>
    <row r="147" spans="1:20" s="4" customFormat="1" ht="83.25" hidden="1" customHeight="1">
      <c r="A147" s="64">
        <v>1216011</v>
      </c>
      <c r="B147" s="78" t="s">
        <v>328</v>
      </c>
      <c r="C147" s="78" t="s">
        <v>59</v>
      </c>
      <c r="D147" s="35" t="s">
        <v>208</v>
      </c>
      <c r="E147" s="30"/>
      <c r="F147" s="89">
        <f t="shared" si="41"/>
        <v>0</v>
      </c>
      <c r="G147" s="89"/>
      <c r="H147" s="90"/>
      <c r="I147" s="90"/>
      <c r="J147" s="90"/>
      <c r="K147" s="89">
        <f t="shared" si="48"/>
        <v>0</v>
      </c>
      <c r="L147" s="89"/>
      <c r="M147" s="90"/>
      <c r="N147" s="89"/>
      <c r="O147" s="90"/>
      <c r="P147" s="90">
        <f t="shared" si="49"/>
        <v>0</v>
      </c>
      <c r="Q147" s="89">
        <f t="shared" si="37"/>
        <v>0</v>
      </c>
      <c r="R147" s="57"/>
      <c r="S147" s="57"/>
      <c r="T147" s="56"/>
    </row>
    <row r="148" spans="1:20" s="4" customFormat="1" ht="83.25" customHeight="1">
      <c r="A148" s="64">
        <v>1213250</v>
      </c>
      <c r="B148" s="78" t="s">
        <v>488</v>
      </c>
      <c r="C148" s="78" t="s">
        <v>57</v>
      </c>
      <c r="D148" s="35" t="s">
        <v>512</v>
      </c>
      <c r="E148" s="30"/>
      <c r="F148" s="89">
        <f t="shared" si="41"/>
        <v>0</v>
      </c>
      <c r="G148" s="89"/>
      <c r="H148" s="90"/>
      <c r="I148" s="90"/>
      <c r="J148" s="90"/>
      <c r="K148" s="89">
        <f t="shared" si="48"/>
        <v>680000</v>
      </c>
      <c r="L148" s="89">
        <v>680000</v>
      </c>
      <c r="M148" s="90"/>
      <c r="N148" s="89"/>
      <c r="O148" s="90"/>
      <c r="P148" s="90">
        <f t="shared" si="49"/>
        <v>680000</v>
      </c>
      <c r="Q148" s="89">
        <f t="shared" si="37"/>
        <v>680000</v>
      </c>
      <c r="R148" s="57"/>
      <c r="S148" s="57"/>
      <c r="T148" s="56"/>
    </row>
    <row r="149" spans="1:20" s="4" customFormat="1" ht="62.25" customHeight="1">
      <c r="A149" s="64">
        <v>1216011</v>
      </c>
      <c r="B149" s="78" t="s">
        <v>328</v>
      </c>
      <c r="C149" s="78" t="s">
        <v>246</v>
      </c>
      <c r="D149" s="35" t="s">
        <v>368</v>
      </c>
      <c r="E149" s="30"/>
      <c r="F149" s="89">
        <f t="shared" si="41"/>
        <v>0</v>
      </c>
      <c r="G149" s="89"/>
      <c r="H149" s="90"/>
      <c r="I149" s="90"/>
      <c r="J149" s="90"/>
      <c r="K149" s="89">
        <f t="shared" si="48"/>
        <v>750000</v>
      </c>
      <c r="L149" s="89">
        <v>750000</v>
      </c>
      <c r="M149" s="90"/>
      <c r="N149" s="89"/>
      <c r="O149" s="90"/>
      <c r="P149" s="90">
        <f>L149</f>
        <v>750000</v>
      </c>
      <c r="Q149" s="89">
        <f t="shared" si="37"/>
        <v>750000</v>
      </c>
      <c r="R149" s="57"/>
      <c r="S149" s="57"/>
      <c r="T149" s="56"/>
    </row>
    <row r="150" spans="1:20" s="4" customFormat="1" ht="50.25" customHeight="1">
      <c r="A150" s="64">
        <v>1216013</v>
      </c>
      <c r="B150" s="78" t="s">
        <v>329</v>
      </c>
      <c r="C150" s="78" t="s">
        <v>59</v>
      </c>
      <c r="D150" s="35" t="s">
        <v>216</v>
      </c>
      <c r="E150" s="30"/>
      <c r="F150" s="89">
        <f t="shared" si="41"/>
        <v>0</v>
      </c>
      <c r="G150" s="89">
        <v>0</v>
      </c>
      <c r="H150" s="90"/>
      <c r="I150" s="90"/>
      <c r="J150" s="90">
        <f>300000-300000</f>
        <v>0</v>
      </c>
      <c r="K150" s="89">
        <f t="shared" si="48"/>
        <v>0</v>
      </c>
      <c r="L150" s="89"/>
      <c r="M150" s="90"/>
      <c r="N150" s="89"/>
      <c r="O150" s="90"/>
      <c r="P150" s="90">
        <f>L150</f>
        <v>0</v>
      </c>
      <c r="Q150" s="89">
        <f t="shared" si="37"/>
        <v>0</v>
      </c>
      <c r="R150" s="57"/>
      <c r="S150" s="57"/>
      <c r="T150" s="56"/>
    </row>
    <row r="151" spans="1:20" s="4" customFormat="1" ht="106.5" customHeight="1">
      <c r="A151" s="64">
        <v>1216020</v>
      </c>
      <c r="B151" s="78" t="s">
        <v>493</v>
      </c>
      <c r="C151" s="78" t="s">
        <v>59</v>
      </c>
      <c r="D151" s="35" t="s">
        <v>494</v>
      </c>
      <c r="E151" s="30"/>
      <c r="F151" s="89">
        <f t="shared" si="41"/>
        <v>3548353</v>
      </c>
      <c r="G151" s="89">
        <v>0</v>
      </c>
      <c r="H151" s="90"/>
      <c r="I151" s="90"/>
      <c r="J151" s="90">
        <f>562000+400000+120000+125000+260000+150000+480000+380000+300000+360000-300000+100000+611353</f>
        <v>3548353</v>
      </c>
      <c r="K151" s="89">
        <f t="shared" si="48"/>
        <v>0</v>
      </c>
      <c r="L151" s="89"/>
      <c r="M151" s="90"/>
      <c r="N151" s="89"/>
      <c r="O151" s="90"/>
      <c r="P151" s="90">
        <f>L151</f>
        <v>0</v>
      </c>
      <c r="Q151" s="89">
        <f t="shared" si="37"/>
        <v>3548353</v>
      </c>
      <c r="R151" s="57"/>
      <c r="S151" s="57"/>
      <c r="T151" s="56"/>
    </row>
    <row r="152" spans="1:20" s="4" customFormat="1" ht="52.5" customHeight="1">
      <c r="A152" s="78" t="s">
        <v>157</v>
      </c>
      <c r="B152" s="78" t="s">
        <v>330</v>
      </c>
      <c r="C152" s="78" t="s">
        <v>59</v>
      </c>
      <c r="D152" s="25" t="s">
        <v>158</v>
      </c>
      <c r="E152" s="30" t="s">
        <v>41</v>
      </c>
      <c r="F152" s="89">
        <f t="shared" si="41"/>
        <v>40622900</v>
      </c>
      <c r="G152" s="89">
        <f>1546000+7750000+9002000+250000+514000+50000+39600-65000+98000+54000+192000+98000+1000000+1093600+151000+400000+15250</f>
        <v>22188450</v>
      </c>
      <c r="H152" s="90"/>
      <c r="I152" s="90">
        <f>9002000</f>
        <v>9002000</v>
      </c>
      <c r="J152" s="90">
        <f>2041773+11344534+768643+1500000+2300000+479500</f>
        <v>18434450</v>
      </c>
      <c r="K152" s="89">
        <f t="shared" si="48"/>
        <v>512986.12</v>
      </c>
      <c r="L152" s="89">
        <f>147000+65000+253000+44500</f>
        <v>509500</v>
      </c>
      <c r="M152" s="90">
        <v>3486.12</v>
      </c>
      <c r="N152" s="89"/>
      <c r="O152" s="90"/>
      <c r="P152" s="90">
        <f>L152</f>
        <v>509500</v>
      </c>
      <c r="Q152" s="89">
        <f t="shared" si="37"/>
        <v>41135886.119999997</v>
      </c>
      <c r="R152" s="57"/>
      <c r="S152" s="57"/>
      <c r="T152" s="56"/>
    </row>
    <row r="153" spans="1:20" s="4" customFormat="1" ht="222" customHeight="1">
      <c r="A153" s="78" t="s">
        <v>501</v>
      </c>
      <c r="B153" s="78" t="s">
        <v>502</v>
      </c>
      <c r="C153" s="78" t="s">
        <v>504</v>
      </c>
      <c r="D153" s="25" t="s">
        <v>503</v>
      </c>
      <c r="E153" s="38"/>
      <c r="F153" s="89">
        <f t="shared" si="41"/>
        <v>1000000</v>
      </c>
      <c r="G153" s="89"/>
      <c r="H153" s="90"/>
      <c r="I153" s="90"/>
      <c r="J153" s="90">
        <v>1000000</v>
      </c>
      <c r="K153" s="89">
        <f t="shared" si="48"/>
        <v>0</v>
      </c>
      <c r="L153" s="89"/>
      <c r="M153" s="90"/>
      <c r="N153" s="89"/>
      <c r="O153" s="90"/>
      <c r="P153" s="90"/>
      <c r="Q153" s="89">
        <f t="shared" si="37"/>
        <v>1000000</v>
      </c>
      <c r="R153" s="57"/>
      <c r="S153" s="57"/>
      <c r="T153" s="56"/>
    </row>
    <row r="154" spans="1:20" s="4" customFormat="1" ht="117" customHeight="1">
      <c r="A154" s="78" t="s">
        <v>498</v>
      </c>
      <c r="B154" s="78" t="s">
        <v>499</v>
      </c>
      <c r="C154" s="78" t="s">
        <v>246</v>
      </c>
      <c r="D154" s="47" t="s">
        <v>500</v>
      </c>
      <c r="E154" s="38" t="s">
        <v>13</v>
      </c>
      <c r="F154" s="89">
        <f t="shared" si="41"/>
        <v>20757</v>
      </c>
      <c r="G154" s="89">
        <f>20757</f>
        <v>20757</v>
      </c>
      <c r="H154" s="90"/>
      <c r="I154" s="90"/>
      <c r="J154" s="90"/>
      <c r="K154" s="89">
        <f t="shared" si="48"/>
        <v>0</v>
      </c>
      <c r="L154" s="89"/>
      <c r="M154" s="90"/>
      <c r="N154" s="89"/>
      <c r="O154" s="90"/>
      <c r="P154" s="90"/>
      <c r="Q154" s="89">
        <f t="shared" si="37"/>
        <v>20757</v>
      </c>
      <c r="R154" s="57"/>
      <c r="S154" s="57"/>
      <c r="T154" s="56"/>
    </row>
    <row r="155" spans="1:20" s="4" customFormat="1" ht="52.5" customHeight="1">
      <c r="A155" s="78" t="s">
        <v>213</v>
      </c>
      <c r="B155" s="78" t="s">
        <v>331</v>
      </c>
      <c r="C155" s="78" t="s">
        <v>73</v>
      </c>
      <c r="D155" s="34" t="s">
        <v>424</v>
      </c>
      <c r="E155" s="38"/>
      <c r="F155" s="89">
        <f t="shared" si="41"/>
        <v>0</v>
      </c>
      <c r="G155" s="89">
        <f>250000-98000-152000</f>
        <v>0</v>
      </c>
      <c r="H155" s="90"/>
      <c r="I155" s="90"/>
      <c r="J155" s="90"/>
      <c r="K155" s="89">
        <f t="shared" si="48"/>
        <v>0</v>
      </c>
      <c r="L155" s="89">
        <v>0</v>
      </c>
      <c r="M155" s="90"/>
      <c r="N155" s="89"/>
      <c r="O155" s="90"/>
      <c r="P155" s="90">
        <f>L155</f>
        <v>0</v>
      </c>
      <c r="Q155" s="89">
        <f t="shared" si="37"/>
        <v>0</v>
      </c>
      <c r="R155" s="57"/>
      <c r="S155" s="57"/>
      <c r="T155" s="56"/>
    </row>
    <row r="156" spans="1:20" s="4" customFormat="1" ht="31.9" hidden="1" customHeight="1">
      <c r="A156" s="78" t="s">
        <v>159</v>
      </c>
      <c r="B156" s="78" t="s">
        <v>332</v>
      </c>
      <c r="C156" s="78" t="s">
        <v>73</v>
      </c>
      <c r="D156" s="25" t="s">
        <v>160</v>
      </c>
      <c r="E156" s="30" t="s">
        <v>14</v>
      </c>
      <c r="F156" s="89">
        <f t="shared" si="41"/>
        <v>0</v>
      </c>
      <c r="G156" s="89"/>
      <c r="H156" s="90"/>
      <c r="I156" s="90"/>
      <c r="J156" s="90"/>
      <c r="K156" s="89">
        <f t="shared" si="48"/>
        <v>0</v>
      </c>
      <c r="L156" s="89"/>
      <c r="M156" s="90"/>
      <c r="N156" s="89"/>
      <c r="O156" s="90"/>
      <c r="P156" s="90">
        <f t="shared" ref="P156:P159" si="50">L156</f>
        <v>0</v>
      </c>
      <c r="Q156" s="89">
        <f t="shared" si="37"/>
        <v>0</v>
      </c>
      <c r="R156" s="57"/>
      <c r="S156" s="57"/>
      <c r="T156" s="56"/>
    </row>
    <row r="157" spans="1:20" s="4" customFormat="1" ht="48.75" hidden="1" customHeight="1">
      <c r="A157" s="78" t="s">
        <v>220</v>
      </c>
      <c r="B157" s="78" t="s">
        <v>333</v>
      </c>
      <c r="C157" s="78" t="s">
        <v>170</v>
      </c>
      <c r="D157" s="34" t="s">
        <v>221</v>
      </c>
      <c r="E157" s="30"/>
      <c r="F157" s="89">
        <f t="shared" si="41"/>
        <v>0</v>
      </c>
      <c r="G157" s="89"/>
      <c r="H157" s="90"/>
      <c r="I157" s="90"/>
      <c r="J157" s="90"/>
      <c r="K157" s="89">
        <f t="shared" si="48"/>
        <v>0</v>
      </c>
      <c r="L157" s="89"/>
      <c r="M157" s="90"/>
      <c r="N157" s="89"/>
      <c r="O157" s="90"/>
      <c r="P157" s="90">
        <f t="shared" si="50"/>
        <v>0</v>
      </c>
      <c r="Q157" s="89">
        <f t="shared" si="37"/>
        <v>0</v>
      </c>
      <c r="R157" s="57"/>
      <c r="S157" s="57"/>
      <c r="T157" s="56"/>
    </row>
    <row r="158" spans="1:20" s="4" customFormat="1" ht="48.75" hidden="1" customHeight="1">
      <c r="A158" s="78" t="s">
        <v>253</v>
      </c>
      <c r="B158" s="78" t="s">
        <v>334</v>
      </c>
      <c r="C158" s="78" t="s">
        <v>170</v>
      </c>
      <c r="D158" s="34" t="s">
        <v>254</v>
      </c>
      <c r="E158" s="30"/>
      <c r="F158" s="89">
        <f t="shared" si="41"/>
        <v>0</v>
      </c>
      <c r="G158" s="89"/>
      <c r="H158" s="90"/>
      <c r="I158" s="90"/>
      <c r="J158" s="90"/>
      <c r="K158" s="89">
        <f t="shared" si="48"/>
        <v>0</v>
      </c>
      <c r="L158" s="89"/>
      <c r="M158" s="90"/>
      <c r="N158" s="89"/>
      <c r="O158" s="90"/>
      <c r="P158" s="90">
        <f t="shared" si="50"/>
        <v>0</v>
      </c>
      <c r="Q158" s="89">
        <f t="shared" si="37"/>
        <v>0</v>
      </c>
      <c r="R158" s="57"/>
      <c r="S158" s="57"/>
      <c r="T158" s="56"/>
    </row>
    <row r="159" spans="1:20" s="4" customFormat="1" ht="48.75" hidden="1" customHeight="1">
      <c r="A159" s="78" t="s">
        <v>223</v>
      </c>
      <c r="B159" s="78" t="s">
        <v>281</v>
      </c>
      <c r="C159" s="78" t="s">
        <v>170</v>
      </c>
      <c r="D159" s="34" t="s">
        <v>224</v>
      </c>
      <c r="E159" s="30"/>
      <c r="F159" s="89">
        <f t="shared" si="41"/>
        <v>0</v>
      </c>
      <c r="G159" s="89"/>
      <c r="H159" s="90"/>
      <c r="I159" s="90"/>
      <c r="J159" s="90"/>
      <c r="K159" s="89">
        <f t="shared" si="48"/>
        <v>0</v>
      </c>
      <c r="L159" s="89"/>
      <c r="M159" s="90"/>
      <c r="N159" s="89"/>
      <c r="O159" s="90"/>
      <c r="P159" s="90">
        <f t="shared" si="50"/>
        <v>0</v>
      </c>
      <c r="Q159" s="89">
        <f t="shared" si="37"/>
        <v>0</v>
      </c>
      <c r="R159" s="57"/>
      <c r="S159" s="57"/>
      <c r="T159" s="56"/>
    </row>
    <row r="160" spans="1:20" s="4" customFormat="1" ht="54" customHeight="1">
      <c r="A160" s="78" t="s">
        <v>524</v>
      </c>
      <c r="B160" s="78" t="s">
        <v>525</v>
      </c>
      <c r="C160" s="78" t="s">
        <v>170</v>
      </c>
      <c r="D160" s="34" t="s">
        <v>526</v>
      </c>
      <c r="E160" s="30"/>
      <c r="F160" s="89">
        <f t="shared" si="41"/>
        <v>0</v>
      </c>
      <c r="G160" s="89"/>
      <c r="H160" s="90"/>
      <c r="I160" s="90"/>
      <c r="J160" s="90"/>
      <c r="K160" s="89">
        <f t="shared" si="48"/>
        <v>2021190</v>
      </c>
      <c r="L160" s="89">
        <v>2021190</v>
      </c>
      <c r="M160" s="90"/>
      <c r="N160" s="89"/>
      <c r="O160" s="90"/>
      <c r="P160" s="90">
        <f>L160</f>
        <v>2021190</v>
      </c>
      <c r="Q160" s="89">
        <f t="shared" si="37"/>
        <v>2021190</v>
      </c>
      <c r="R160" s="57"/>
      <c r="S160" s="57"/>
      <c r="T160" s="56"/>
    </row>
    <row r="161" spans="1:20" s="4" customFormat="1" ht="78" customHeight="1">
      <c r="A161" s="78" t="s">
        <v>219</v>
      </c>
      <c r="B161" s="78" t="s">
        <v>335</v>
      </c>
      <c r="C161" s="78" t="s">
        <v>210</v>
      </c>
      <c r="D161" s="47" t="s">
        <v>218</v>
      </c>
      <c r="E161" s="30"/>
      <c r="F161" s="89">
        <f t="shared" si="41"/>
        <v>60596050</v>
      </c>
      <c r="G161" s="89">
        <f>51498050+98000+4500000+3000000+1500000</f>
        <v>60596050</v>
      </c>
      <c r="H161" s="90"/>
      <c r="I161" s="90"/>
      <c r="J161" s="90"/>
      <c r="K161" s="89">
        <f t="shared" si="48"/>
        <v>2000640.62</v>
      </c>
      <c r="L161" s="89">
        <f>1910000+90000</f>
        <v>2000000</v>
      </c>
      <c r="M161" s="90">
        <v>640.62</v>
      </c>
      <c r="N161" s="89"/>
      <c r="O161" s="90"/>
      <c r="P161" s="90">
        <f t="shared" ref="P161:P164" si="51">L161</f>
        <v>2000000</v>
      </c>
      <c r="Q161" s="89">
        <f t="shared" si="37"/>
        <v>62596690.619999997</v>
      </c>
      <c r="R161" s="57"/>
      <c r="S161" s="57"/>
      <c r="T161" s="56"/>
    </row>
    <row r="162" spans="1:20" s="4" customFormat="1" ht="50.45" customHeight="1">
      <c r="A162" s="78" t="s">
        <v>354</v>
      </c>
      <c r="B162" s="78" t="s">
        <v>343</v>
      </c>
      <c r="C162" s="78" t="s">
        <v>344</v>
      </c>
      <c r="D162" s="25" t="s">
        <v>345</v>
      </c>
      <c r="E162" s="30"/>
      <c r="F162" s="89">
        <f t="shared" si="41"/>
        <v>50000</v>
      </c>
      <c r="G162" s="89">
        <f>50000</f>
        <v>50000</v>
      </c>
      <c r="H162" s="90"/>
      <c r="I162" s="90"/>
      <c r="J162" s="90"/>
      <c r="K162" s="89">
        <f t="shared" si="48"/>
        <v>0</v>
      </c>
      <c r="L162" s="92"/>
      <c r="M162" s="92"/>
      <c r="N162" s="92"/>
      <c r="O162" s="93"/>
      <c r="P162" s="93">
        <f t="shared" si="51"/>
        <v>0</v>
      </c>
      <c r="Q162" s="89">
        <f>F162+K162</f>
        <v>50000</v>
      </c>
      <c r="R162" s="57"/>
      <c r="S162" s="57"/>
      <c r="T162" s="56"/>
    </row>
    <row r="163" spans="1:20" s="4" customFormat="1" ht="42" customHeight="1">
      <c r="A163" s="78" t="s">
        <v>355</v>
      </c>
      <c r="B163" s="78" t="s">
        <v>282</v>
      </c>
      <c r="C163" s="78" t="s">
        <v>76</v>
      </c>
      <c r="D163" s="25" t="s">
        <v>110</v>
      </c>
      <c r="E163" s="30"/>
      <c r="F163" s="89">
        <f t="shared" si="41"/>
        <v>125000</v>
      </c>
      <c r="G163" s="89">
        <v>95000</v>
      </c>
      <c r="H163" s="90"/>
      <c r="I163" s="90"/>
      <c r="J163" s="90">
        <f>100000-70000</f>
        <v>30000</v>
      </c>
      <c r="K163" s="89">
        <f t="shared" si="48"/>
        <v>461000</v>
      </c>
      <c r="L163" s="89">
        <v>461000</v>
      </c>
      <c r="M163" s="90"/>
      <c r="N163" s="89"/>
      <c r="O163" s="90"/>
      <c r="P163" s="90">
        <f t="shared" si="51"/>
        <v>461000</v>
      </c>
      <c r="Q163" s="89">
        <f t="shared" si="37"/>
        <v>586000</v>
      </c>
      <c r="R163" s="57"/>
      <c r="S163" s="57"/>
      <c r="T163" s="56"/>
    </row>
    <row r="164" spans="1:20" s="4" customFormat="1" ht="55.9" customHeight="1">
      <c r="A164" s="78" t="s">
        <v>207</v>
      </c>
      <c r="B164" s="78" t="s">
        <v>283</v>
      </c>
      <c r="C164" s="78" t="s">
        <v>170</v>
      </c>
      <c r="D164" s="25" t="s">
        <v>241</v>
      </c>
      <c r="E164" s="30"/>
      <c r="F164" s="89">
        <f t="shared" si="41"/>
        <v>0</v>
      </c>
      <c r="G164" s="89"/>
      <c r="H164" s="90"/>
      <c r="I164" s="90"/>
      <c r="J164" s="90">
        <v>0</v>
      </c>
      <c r="K164" s="89">
        <f>M164+P164</f>
        <v>12883384</v>
      </c>
      <c r="L164" s="89">
        <f>300000+20000+400000+493384+3820741+2879259+4190000+480000+300000</f>
        <v>12883384</v>
      </c>
      <c r="M164" s="90"/>
      <c r="N164" s="89"/>
      <c r="O164" s="90"/>
      <c r="P164" s="90">
        <f t="shared" si="51"/>
        <v>12883384</v>
      </c>
      <c r="Q164" s="89">
        <f>F164+K164</f>
        <v>12883384</v>
      </c>
      <c r="R164" s="57"/>
      <c r="S164" s="57"/>
      <c r="T164" s="56"/>
    </row>
    <row r="165" spans="1:20" s="4" customFormat="1" ht="48" customHeight="1">
      <c r="A165" s="78" t="s">
        <v>365</v>
      </c>
      <c r="B165" s="78" t="s">
        <v>366</v>
      </c>
      <c r="C165" s="78" t="s">
        <v>170</v>
      </c>
      <c r="D165" s="25" t="s">
        <v>367</v>
      </c>
      <c r="E165" s="30"/>
      <c r="F165" s="89">
        <f t="shared" si="41"/>
        <v>0</v>
      </c>
      <c r="G165" s="89"/>
      <c r="H165" s="90"/>
      <c r="I165" s="90"/>
      <c r="J165" s="90">
        <v>0</v>
      </c>
      <c r="K165" s="89">
        <f t="shared" ref="K165:K166" si="52">M165+P165</f>
        <v>0</v>
      </c>
      <c r="L165" s="89"/>
      <c r="M165" s="90"/>
      <c r="N165" s="89"/>
      <c r="O165" s="90"/>
      <c r="P165" s="90"/>
      <c r="Q165" s="89">
        <f>F165+K165</f>
        <v>0</v>
      </c>
      <c r="R165" s="57"/>
      <c r="S165" s="57"/>
      <c r="T165" s="56"/>
    </row>
    <row r="166" spans="1:20" s="4" customFormat="1" ht="95.85" customHeight="1">
      <c r="A166" s="78" t="s">
        <v>435</v>
      </c>
      <c r="B166" s="78" t="s">
        <v>436</v>
      </c>
      <c r="C166" s="78" t="s">
        <v>62</v>
      </c>
      <c r="D166" s="136" t="s">
        <v>437</v>
      </c>
      <c r="E166" s="130"/>
      <c r="F166" s="89">
        <f t="shared" si="41"/>
        <v>0</v>
      </c>
      <c r="G166" s="89"/>
      <c r="H166" s="90"/>
      <c r="I166" s="90"/>
      <c r="J166" s="90"/>
      <c r="K166" s="89">
        <f t="shared" si="52"/>
        <v>4102300.97</v>
      </c>
      <c r="L166" s="89"/>
      <c r="M166" s="90"/>
      <c r="N166" s="89"/>
      <c r="O166" s="90"/>
      <c r="P166" s="90">
        <f>3852300.97+250000</f>
        <v>4102300.97</v>
      </c>
      <c r="Q166" s="89">
        <f>F166+K166</f>
        <v>4102300.97</v>
      </c>
      <c r="R166" s="57"/>
      <c r="S166" s="57"/>
      <c r="T166" s="56"/>
    </row>
    <row r="167" spans="1:20" s="4" customFormat="1" ht="73.349999999999994" customHeight="1">
      <c r="A167" s="81" t="s">
        <v>161</v>
      </c>
      <c r="B167" s="81" t="s">
        <v>285</v>
      </c>
      <c r="C167" s="81" t="s">
        <v>61</v>
      </c>
      <c r="D167" s="43" t="s">
        <v>191</v>
      </c>
      <c r="E167" s="39" t="s">
        <v>35</v>
      </c>
      <c r="F167" s="89">
        <f t="shared" si="41"/>
        <v>6338400</v>
      </c>
      <c r="G167" s="94">
        <f>3095000+1000000+345400+98000+500000+1200000+100000</f>
        <v>6338400</v>
      </c>
      <c r="H167" s="112"/>
      <c r="I167" s="112"/>
      <c r="J167" s="112"/>
      <c r="K167" s="94">
        <f t="shared" si="48"/>
        <v>22403841</v>
      </c>
      <c r="L167" s="89">
        <f>41900000-5910938+5910938-2879259-5300000-5700000+4000000-4190000-199000-1000000-95000-1962900-2170000</f>
        <v>22403841</v>
      </c>
      <c r="M167" s="90"/>
      <c r="N167" s="89"/>
      <c r="O167" s="90"/>
      <c r="P167" s="90">
        <f>L167</f>
        <v>22403841</v>
      </c>
      <c r="Q167" s="89">
        <f>F167+K167</f>
        <v>28742241</v>
      </c>
      <c r="R167" s="57"/>
      <c r="S167" s="57"/>
      <c r="T167" s="56"/>
    </row>
    <row r="168" spans="1:20" s="4" customFormat="1" ht="62.45" customHeight="1">
      <c r="A168" s="78" t="s">
        <v>431</v>
      </c>
      <c r="B168" s="78" t="s">
        <v>418</v>
      </c>
      <c r="C168" s="78" t="s">
        <v>419</v>
      </c>
      <c r="D168" s="35" t="s">
        <v>420</v>
      </c>
      <c r="E168" s="30"/>
      <c r="F168" s="89">
        <f t="shared" si="41"/>
        <v>595000</v>
      </c>
      <c r="G168" s="92">
        <f>595000</f>
        <v>595000</v>
      </c>
      <c r="H168" s="93"/>
      <c r="I168" s="93"/>
      <c r="J168" s="93"/>
      <c r="K168" s="89">
        <f t="shared" si="48"/>
        <v>0</v>
      </c>
      <c r="L168" s="92"/>
      <c r="M168" s="92"/>
      <c r="N168" s="92"/>
      <c r="O168" s="93"/>
      <c r="P168" s="93"/>
      <c r="Q168" s="89">
        <f t="shared" si="37"/>
        <v>595000</v>
      </c>
      <c r="R168" s="57"/>
      <c r="S168" s="57"/>
      <c r="T168" s="56"/>
    </row>
    <row r="169" spans="1:20" s="4" customFormat="1" ht="62.45" customHeight="1">
      <c r="A169" s="78" t="s">
        <v>168</v>
      </c>
      <c r="B169" s="78" t="s">
        <v>336</v>
      </c>
      <c r="C169" s="78" t="s">
        <v>162</v>
      </c>
      <c r="D169" s="25" t="s">
        <v>169</v>
      </c>
      <c r="E169" s="30" t="s">
        <v>48</v>
      </c>
      <c r="F169" s="89">
        <f t="shared" si="41"/>
        <v>0</v>
      </c>
      <c r="G169" s="89"/>
      <c r="H169" s="90"/>
      <c r="I169" s="90"/>
      <c r="J169" s="90"/>
      <c r="K169" s="89">
        <f t="shared" si="48"/>
        <v>867155.45</v>
      </c>
      <c r="L169" s="89">
        <v>0</v>
      </c>
      <c r="M169" s="90">
        <f>270700+494455.45</f>
        <v>765155.45</v>
      </c>
      <c r="N169" s="89"/>
      <c r="O169" s="90"/>
      <c r="P169" s="90">
        <v>102000</v>
      </c>
      <c r="Q169" s="89">
        <f t="shared" si="37"/>
        <v>867155.45</v>
      </c>
      <c r="R169" s="57"/>
      <c r="S169" s="57"/>
      <c r="T169" s="56"/>
    </row>
    <row r="170" spans="1:20" s="4" customFormat="1" ht="98.25" customHeight="1">
      <c r="A170" s="65" t="s">
        <v>257</v>
      </c>
      <c r="B170" s="75">
        <v>3100000</v>
      </c>
      <c r="C170" s="65"/>
      <c r="D170" s="76" t="s">
        <v>485</v>
      </c>
      <c r="E170" s="69"/>
      <c r="F170" s="111">
        <f t="shared" si="41"/>
        <v>7737350</v>
      </c>
      <c r="G170" s="68">
        <f t="shared" ref="G170:P170" si="53">G171</f>
        <v>7737350</v>
      </c>
      <c r="H170" s="68">
        <f t="shared" si="53"/>
        <v>4953800</v>
      </c>
      <c r="I170" s="68">
        <f t="shared" si="53"/>
        <v>308610</v>
      </c>
      <c r="J170" s="68">
        <f t="shared" si="53"/>
        <v>0</v>
      </c>
      <c r="K170" s="68">
        <f t="shared" si="53"/>
        <v>101300</v>
      </c>
      <c r="L170" s="68">
        <f t="shared" si="53"/>
        <v>101300</v>
      </c>
      <c r="M170" s="68">
        <f t="shared" si="53"/>
        <v>0</v>
      </c>
      <c r="N170" s="68">
        <f t="shared" si="53"/>
        <v>0</v>
      </c>
      <c r="O170" s="68">
        <f t="shared" si="53"/>
        <v>0</v>
      </c>
      <c r="P170" s="68">
        <f t="shared" si="53"/>
        <v>101300</v>
      </c>
      <c r="Q170" s="68">
        <f>F170+K170</f>
        <v>7838650</v>
      </c>
      <c r="R170" s="57"/>
      <c r="S170" s="57"/>
      <c r="T170" s="56"/>
    </row>
    <row r="171" spans="1:20" s="4" customFormat="1" ht="59.1" customHeight="1">
      <c r="A171" s="82" t="s">
        <v>258</v>
      </c>
      <c r="B171" s="87">
        <v>3110000</v>
      </c>
      <c r="C171" s="82"/>
      <c r="D171" s="103" t="str">
        <f>D170</f>
        <v>Управління комунального майна  та земельних відносин міської ради</v>
      </c>
      <c r="E171" s="28"/>
      <c r="F171" s="89">
        <f t="shared" si="41"/>
        <v>7737350</v>
      </c>
      <c r="G171" s="89">
        <f t="shared" ref="G171:P171" si="54">SUM(G172:G177)</f>
        <v>7737350</v>
      </c>
      <c r="H171" s="89">
        <f t="shared" si="54"/>
        <v>4953800</v>
      </c>
      <c r="I171" s="89">
        <f t="shared" si="54"/>
        <v>308610</v>
      </c>
      <c r="J171" s="89">
        <f t="shared" si="54"/>
        <v>0</v>
      </c>
      <c r="K171" s="89">
        <f t="shared" si="54"/>
        <v>101300</v>
      </c>
      <c r="L171" s="89">
        <f t="shared" si="54"/>
        <v>101300</v>
      </c>
      <c r="M171" s="89">
        <f t="shared" si="54"/>
        <v>0</v>
      </c>
      <c r="N171" s="89">
        <f t="shared" si="54"/>
        <v>0</v>
      </c>
      <c r="O171" s="89">
        <f t="shared" si="54"/>
        <v>0</v>
      </c>
      <c r="P171" s="89">
        <f t="shared" si="54"/>
        <v>101300</v>
      </c>
      <c r="Q171" s="89">
        <f t="shared" ref="Q171:Q181" si="55">F171+K171</f>
        <v>7838650</v>
      </c>
      <c r="R171" s="57"/>
      <c r="S171" s="57"/>
      <c r="T171" s="56"/>
    </row>
    <row r="172" spans="1:20" s="4" customFormat="1" ht="73.900000000000006" customHeight="1">
      <c r="A172" s="78" t="s">
        <v>259</v>
      </c>
      <c r="B172" s="78" t="s">
        <v>268</v>
      </c>
      <c r="C172" s="78" t="s">
        <v>53</v>
      </c>
      <c r="D172" s="33" t="s">
        <v>376</v>
      </c>
      <c r="E172" s="30"/>
      <c r="F172" s="89">
        <f t="shared" si="41"/>
        <v>6468350</v>
      </c>
      <c r="G172" s="89">
        <f>4900350+1220000+18000+300000+30000</f>
        <v>6468350</v>
      </c>
      <c r="H172" s="90">
        <f>3703800+1000000+250000</f>
        <v>4953800</v>
      </c>
      <c r="I172" s="90">
        <v>308610</v>
      </c>
      <c r="J172" s="90"/>
      <c r="K172" s="89">
        <f t="shared" ref="K172:K177" si="56">M172+P172</f>
        <v>0</v>
      </c>
      <c r="L172" s="89">
        <f>30000-30000</f>
        <v>0</v>
      </c>
      <c r="M172" s="90"/>
      <c r="N172" s="89"/>
      <c r="O172" s="90"/>
      <c r="P172" s="90">
        <f>L172</f>
        <v>0</v>
      </c>
      <c r="Q172" s="89">
        <f t="shared" si="55"/>
        <v>6468350</v>
      </c>
      <c r="R172" s="57"/>
      <c r="S172" s="57"/>
      <c r="T172" s="56"/>
    </row>
    <row r="173" spans="1:20" s="4" customFormat="1" ht="47.1" customHeight="1">
      <c r="A173" s="78" t="s">
        <v>260</v>
      </c>
      <c r="B173" s="78" t="s">
        <v>225</v>
      </c>
      <c r="C173" s="78" t="s">
        <v>62</v>
      </c>
      <c r="D173" s="33" t="s">
        <v>109</v>
      </c>
      <c r="E173" s="30"/>
      <c r="F173" s="89">
        <f t="shared" si="41"/>
        <v>808000</v>
      </c>
      <c r="G173" s="89">
        <f>90000+150000+500000+98000-30000</f>
        <v>808000</v>
      </c>
      <c r="H173" s="90"/>
      <c r="I173" s="90"/>
      <c r="J173" s="90"/>
      <c r="K173" s="89">
        <f t="shared" si="56"/>
        <v>0</v>
      </c>
      <c r="L173" s="89"/>
      <c r="M173" s="90"/>
      <c r="N173" s="89"/>
      <c r="O173" s="90"/>
      <c r="P173" s="90"/>
      <c r="Q173" s="89">
        <f t="shared" si="55"/>
        <v>808000</v>
      </c>
      <c r="R173" s="57"/>
      <c r="S173" s="57"/>
      <c r="T173" s="56"/>
    </row>
    <row r="174" spans="1:20" s="4" customFormat="1" ht="36" customHeight="1">
      <c r="A174" s="78" t="s">
        <v>261</v>
      </c>
      <c r="B174" s="78" t="s">
        <v>280</v>
      </c>
      <c r="C174" s="78" t="s">
        <v>60</v>
      </c>
      <c r="D174" s="46" t="s">
        <v>98</v>
      </c>
      <c r="E174" s="30"/>
      <c r="F174" s="89">
        <f t="shared" si="41"/>
        <v>404000</v>
      </c>
      <c r="G174" s="89">
        <f>250000+84000+70000</f>
        <v>404000</v>
      </c>
      <c r="H174" s="90"/>
      <c r="I174" s="90"/>
      <c r="J174" s="90"/>
      <c r="K174" s="89">
        <f t="shared" si="56"/>
        <v>0</v>
      </c>
      <c r="L174" s="89"/>
      <c r="M174" s="90"/>
      <c r="N174" s="89"/>
      <c r="O174" s="90"/>
      <c r="P174" s="90"/>
      <c r="Q174" s="89">
        <f t="shared" si="55"/>
        <v>404000</v>
      </c>
      <c r="R174" s="57"/>
      <c r="S174" s="57"/>
      <c r="T174" s="56"/>
    </row>
    <row r="175" spans="1:20" s="4" customFormat="1" ht="52.35" customHeight="1">
      <c r="A175" s="78" t="s">
        <v>356</v>
      </c>
      <c r="B175" s="78" t="s">
        <v>343</v>
      </c>
      <c r="C175" s="78" t="s">
        <v>344</v>
      </c>
      <c r="D175" s="25" t="s">
        <v>345</v>
      </c>
      <c r="E175" s="30"/>
      <c r="F175" s="89">
        <f t="shared" si="41"/>
        <v>57000</v>
      </c>
      <c r="G175" s="89">
        <f>57000</f>
        <v>57000</v>
      </c>
      <c r="H175" s="90"/>
      <c r="I175" s="90"/>
      <c r="J175" s="90"/>
      <c r="K175" s="89">
        <f>M175+P175</f>
        <v>46000</v>
      </c>
      <c r="L175" s="89">
        <v>46000</v>
      </c>
      <c r="M175" s="89"/>
      <c r="N175" s="89"/>
      <c r="O175" s="90"/>
      <c r="P175" s="90">
        <f>L175</f>
        <v>46000</v>
      </c>
      <c r="Q175" s="89">
        <f>F175+K175</f>
        <v>103000</v>
      </c>
      <c r="R175" s="57"/>
      <c r="S175" s="57"/>
      <c r="T175" s="56"/>
    </row>
    <row r="176" spans="1:20" s="4" customFormat="1" ht="60.75" customHeight="1">
      <c r="A176" s="78" t="s">
        <v>262</v>
      </c>
      <c r="B176" s="78" t="s">
        <v>337</v>
      </c>
      <c r="C176" s="78" t="s">
        <v>170</v>
      </c>
      <c r="D176" s="35" t="s">
        <v>214</v>
      </c>
      <c r="E176" s="30"/>
      <c r="F176" s="89">
        <f t="shared" si="41"/>
        <v>0</v>
      </c>
      <c r="G176" s="89">
        <v>0</v>
      </c>
      <c r="H176" s="90"/>
      <c r="I176" s="90"/>
      <c r="J176" s="90"/>
      <c r="K176" s="89">
        <f t="shared" si="56"/>
        <v>55300</v>
      </c>
      <c r="L176" s="89">
        <f>5300+5000+45000</f>
        <v>55300</v>
      </c>
      <c r="M176" s="90"/>
      <c r="N176" s="89"/>
      <c r="O176" s="90"/>
      <c r="P176" s="90">
        <f>L176</f>
        <v>55300</v>
      </c>
      <c r="Q176" s="89">
        <f t="shared" si="55"/>
        <v>55300</v>
      </c>
      <c r="R176" s="57"/>
      <c r="S176" s="57"/>
      <c r="T176" s="56"/>
    </row>
    <row r="177" spans="1:20" s="4" customFormat="1" ht="81.75" hidden="1" customHeight="1">
      <c r="A177" s="78" t="s">
        <v>263</v>
      </c>
      <c r="B177" s="78" t="s">
        <v>338</v>
      </c>
      <c r="C177" s="78" t="s">
        <v>170</v>
      </c>
      <c r="D177" s="25" t="s">
        <v>209</v>
      </c>
      <c r="E177" s="3"/>
      <c r="F177" s="89">
        <f t="shared" si="41"/>
        <v>0</v>
      </c>
      <c r="G177" s="89"/>
      <c r="H177" s="90"/>
      <c r="I177" s="90"/>
      <c r="J177" s="90"/>
      <c r="K177" s="89">
        <f t="shared" si="56"/>
        <v>0</v>
      </c>
      <c r="L177" s="89"/>
      <c r="M177" s="90"/>
      <c r="N177" s="89"/>
      <c r="O177" s="90"/>
      <c r="P177" s="90">
        <f>L177</f>
        <v>0</v>
      </c>
      <c r="Q177" s="89">
        <f t="shared" si="55"/>
        <v>0</v>
      </c>
      <c r="R177" s="57"/>
      <c r="S177" s="57"/>
      <c r="T177" s="56"/>
    </row>
    <row r="178" spans="1:20" s="12" customFormat="1" ht="98.25" customHeight="1">
      <c r="A178" s="65" t="s">
        <v>163</v>
      </c>
      <c r="B178" s="77">
        <v>3700000</v>
      </c>
      <c r="C178" s="69"/>
      <c r="D178" s="70" t="s">
        <v>5</v>
      </c>
      <c r="E178" s="69" t="s">
        <v>5</v>
      </c>
      <c r="F178" s="111">
        <f>F179</f>
        <v>36153690.090000004</v>
      </c>
      <c r="G178" s="73">
        <f t="shared" ref="G178:P178" si="57">G179</f>
        <v>34674100</v>
      </c>
      <c r="H178" s="73">
        <f t="shared" si="57"/>
        <v>10928400</v>
      </c>
      <c r="I178" s="73">
        <f t="shared" si="57"/>
        <v>197500</v>
      </c>
      <c r="J178" s="73">
        <f t="shared" si="57"/>
        <v>0</v>
      </c>
      <c r="K178" s="68">
        <f t="shared" si="57"/>
        <v>1407800</v>
      </c>
      <c r="L178" s="68">
        <f t="shared" si="57"/>
        <v>1407800</v>
      </c>
      <c r="M178" s="68">
        <f t="shared" si="57"/>
        <v>0</v>
      </c>
      <c r="N178" s="68">
        <f t="shared" si="57"/>
        <v>0</v>
      </c>
      <c r="O178" s="68">
        <f t="shared" si="57"/>
        <v>0</v>
      </c>
      <c r="P178" s="68">
        <f t="shared" si="57"/>
        <v>1407800</v>
      </c>
      <c r="Q178" s="68">
        <f>F178+K178</f>
        <v>37561490.090000004</v>
      </c>
      <c r="R178" s="51"/>
      <c r="S178" s="58"/>
      <c r="T178" s="53"/>
    </row>
    <row r="179" spans="1:20" s="12" customFormat="1" ht="60" customHeight="1">
      <c r="A179" s="82" t="s">
        <v>164</v>
      </c>
      <c r="B179" s="88">
        <v>3710000</v>
      </c>
      <c r="C179" s="83"/>
      <c r="D179" s="31" t="str">
        <f>D178</f>
        <v>Фінансове управління міської ради</v>
      </c>
      <c r="E179" s="28"/>
      <c r="F179" s="89">
        <f>SUM(F180:F187)</f>
        <v>36153690.090000004</v>
      </c>
      <c r="G179" s="98">
        <f>SUM(G180:G187)</f>
        <v>34674100</v>
      </c>
      <c r="H179" s="98">
        <f t="shared" ref="H179:J179" si="58">SUM(H180:H187)</f>
        <v>10928400</v>
      </c>
      <c r="I179" s="98">
        <f t="shared" si="58"/>
        <v>197500</v>
      </c>
      <c r="J179" s="98">
        <f t="shared" si="58"/>
        <v>0</v>
      </c>
      <c r="K179" s="98">
        <f>SUM(K180:K187)</f>
        <v>1407800</v>
      </c>
      <c r="L179" s="98">
        <f t="shared" ref="L179:P179" si="59">SUM(L180:L187)</f>
        <v>1407800</v>
      </c>
      <c r="M179" s="98">
        <f t="shared" si="59"/>
        <v>0</v>
      </c>
      <c r="N179" s="98">
        <f t="shared" si="59"/>
        <v>0</v>
      </c>
      <c r="O179" s="98">
        <f t="shared" si="59"/>
        <v>0</v>
      </c>
      <c r="P179" s="98">
        <f t="shared" si="59"/>
        <v>1407800</v>
      </c>
      <c r="Q179" s="89">
        <f t="shared" si="55"/>
        <v>37561490.090000004</v>
      </c>
      <c r="R179" s="51"/>
      <c r="S179" s="58"/>
      <c r="T179" s="53"/>
    </row>
    <row r="180" spans="1:20" s="4" customFormat="1" ht="74.45" customHeight="1">
      <c r="A180" s="78" t="s">
        <v>165</v>
      </c>
      <c r="B180" s="78" t="s">
        <v>268</v>
      </c>
      <c r="C180" s="78" t="s">
        <v>53</v>
      </c>
      <c r="D180" s="33" t="s">
        <v>376</v>
      </c>
      <c r="E180" s="30" t="s">
        <v>2</v>
      </c>
      <c r="F180" s="89">
        <f t="shared" si="41"/>
        <v>13812600</v>
      </c>
      <c r="G180" s="89">
        <f>8861550+3320000+1631050</f>
        <v>13812600</v>
      </c>
      <c r="H180" s="90">
        <f>6853200+2730000+1345200</f>
        <v>10928400</v>
      </c>
      <c r="I180" s="90">
        <v>197500</v>
      </c>
      <c r="J180" s="90"/>
      <c r="K180" s="89">
        <f t="shared" ref="K180:K185" si="60">M180+P180</f>
        <v>30000</v>
      </c>
      <c r="L180" s="89">
        <f>30000</f>
        <v>30000</v>
      </c>
      <c r="M180" s="90"/>
      <c r="N180" s="89"/>
      <c r="O180" s="90"/>
      <c r="P180" s="90">
        <f>L180</f>
        <v>30000</v>
      </c>
      <c r="Q180" s="89">
        <f t="shared" si="55"/>
        <v>13842600</v>
      </c>
      <c r="R180" s="57"/>
      <c r="S180" s="57"/>
      <c r="T180" s="56"/>
    </row>
    <row r="181" spans="1:20" s="4" customFormat="1" ht="66" customHeight="1">
      <c r="A181" s="78" t="s">
        <v>206</v>
      </c>
      <c r="B181" s="78" t="s">
        <v>225</v>
      </c>
      <c r="C181" s="78" t="s">
        <v>62</v>
      </c>
      <c r="D181" s="33" t="s">
        <v>109</v>
      </c>
      <c r="E181" s="30"/>
      <c r="F181" s="89">
        <f t="shared" ref="F181:F187" si="61">G181+J181</f>
        <v>100000</v>
      </c>
      <c r="G181" s="89">
        <f>90000+10000</f>
        <v>100000</v>
      </c>
      <c r="H181" s="90"/>
      <c r="I181" s="90"/>
      <c r="J181" s="90"/>
      <c r="K181" s="89">
        <f t="shared" si="60"/>
        <v>0</v>
      </c>
      <c r="L181" s="89"/>
      <c r="M181" s="90"/>
      <c r="N181" s="89"/>
      <c r="O181" s="90"/>
      <c r="P181" s="90"/>
      <c r="Q181" s="89">
        <f t="shared" si="55"/>
        <v>100000</v>
      </c>
      <c r="R181" s="57"/>
      <c r="S181" s="57"/>
      <c r="T181" s="56"/>
    </row>
    <row r="182" spans="1:20" s="4" customFormat="1" ht="75" customHeight="1">
      <c r="A182" s="78" t="s">
        <v>357</v>
      </c>
      <c r="B182" s="78" t="s">
        <v>343</v>
      </c>
      <c r="C182" s="78" t="s">
        <v>344</v>
      </c>
      <c r="D182" s="25" t="s">
        <v>345</v>
      </c>
      <c r="E182" s="30"/>
      <c r="F182" s="89">
        <f t="shared" si="61"/>
        <v>185000</v>
      </c>
      <c r="G182" s="89">
        <v>185000</v>
      </c>
      <c r="H182" s="90"/>
      <c r="I182" s="90"/>
      <c r="J182" s="90"/>
      <c r="K182" s="89">
        <f t="shared" si="60"/>
        <v>77800</v>
      </c>
      <c r="L182" s="89">
        <f>77800</f>
        <v>77800</v>
      </c>
      <c r="M182" s="89"/>
      <c r="N182" s="89"/>
      <c r="O182" s="90"/>
      <c r="P182" s="90">
        <f>L182</f>
        <v>77800</v>
      </c>
      <c r="Q182" s="89">
        <f>F182+K182</f>
        <v>262800</v>
      </c>
      <c r="R182" s="57"/>
      <c r="S182" s="57"/>
      <c r="T182" s="56"/>
    </row>
    <row r="183" spans="1:20" s="4" customFormat="1" ht="68.25" customHeight="1">
      <c r="A183" s="78" t="s">
        <v>406</v>
      </c>
      <c r="B183" s="78" t="s">
        <v>408</v>
      </c>
      <c r="C183" s="78" t="s">
        <v>62</v>
      </c>
      <c r="D183" s="33" t="s">
        <v>409</v>
      </c>
      <c r="E183" s="30"/>
      <c r="F183" s="89">
        <f>17006501+114-12875901-116000-55000-500000+4954174.09-661000-562000-311635-400000-500000-13626-250000-50000-50000-35000-81000-120000-2797855+1271678+8784-1671291-611353-100000</f>
        <v>1479590.0899999999</v>
      </c>
      <c r="G183" s="89"/>
      <c r="H183" s="90"/>
      <c r="I183" s="90"/>
      <c r="J183" s="90"/>
      <c r="K183" s="89">
        <f t="shared" si="60"/>
        <v>0</v>
      </c>
      <c r="L183" s="89"/>
      <c r="M183" s="90"/>
      <c r="N183" s="89"/>
      <c r="O183" s="90"/>
      <c r="P183" s="90"/>
      <c r="Q183" s="89">
        <f>F183+K183</f>
        <v>1479590.0899999999</v>
      </c>
      <c r="R183" s="57"/>
      <c r="S183" s="57"/>
      <c r="T183" s="56"/>
    </row>
    <row r="184" spans="1:20" s="4" customFormat="1" ht="48.75" hidden="1" customHeight="1">
      <c r="A184" s="78" t="s">
        <v>228</v>
      </c>
      <c r="B184" s="78" t="s">
        <v>339</v>
      </c>
      <c r="C184" s="78" t="s">
        <v>225</v>
      </c>
      <c r="D184" s="33" t="s">
        <v>229</v>
      </c>
      <c r="E184" s="3"/>
      <c r="F184" s="89">
        <f t="shared" si="61"/>
        <v>0</v>
      </c>
      <c r="G184" s="89"/>
      <c r="H184" s="90"/>
      <c r="I184" s="90"/>
      <c r="J184" s="99"/>
      <c r="K184" s="89">
        <f t="shared" si="60"/>
        <v>0</v>
      </c>
      <c r="L184" s="89"/>
      <c r="M184" s="90"/>
      <c r="N184" s="89"/>
      <c r="O184" s="90"/>
      <c r="P184" s="90"/>
      <c r="Q184" s="89">
        <f t="shared" ref="Q184:Q187" si="62">F184+K184</f>
        <v>0</v>
      </c>
      <c r="R184" s="57"/>
      <c r="S184" s="57"/>
      <c r="T184" s="56"/>
    </row>
    <row r="185" spans="1:20" s="4" customFormat="1" ht="67.5" customHeight="1">
      <c r="A185" s="78" t="s">
        <v>421</v>
      </c>
      <c r="B185" s="78" t="s">
        <v>422</v>
      </c>
      <c r="C185" s="78" t="s">
        <v>225</v>
      </c>
      <c r="D185" s="33" t="s">
        <v>423</v>
      </c>
      <c r="E185" s="3"/>
      <c r="F185" s="89">
        <f t="shared" si="61"/>
        <v>12196500</v>
      </c>
      <c r="G185" s="89">
        <v>12196500</v>
      </c>
      <c r="H185" s="90"/>
      <c r="I185" s="90"/>
      <c r="J185" s="90"/>
      <c r="K185" s="89">
        <f t="shared" si="60"/>
        <v>0</v>
      </c>
      <c r="L185" s="89"/>
      <c r="M185" s="90"/>
      <c r="N185" s="89"/>
      <c r="O185" s="90"/>
      <c r="P185" s="90"/>
      <c r="Q185" s="89">
        <f t="shared" si="62"/>
        <v>12196500</v>
      </c>
      <c r="R185" s="57"/>
      <c r="S185" s="57"/>
      <c r="T185" s="56"/>
    </row>
    <row r="186" spans="1:20" s="4" customFormat="1" ht="82.5" customHeight="1">
      <c r="A186" s="78" t="s">
        <v>228</v>
      </c>
      <c r="B186" s="78" t="s">
        <v>339</v>
      </c>
      <c r="C186" s="78" t="s">
        <v>225</v>
      </c>
      <c r="D186" s="33" t="s">
        <v>430</v>
      </c>
      <c r="E186" s="3"/>
      <c r="F186" s="89">
        <f t="shared" si="61"/>
        <v>230000</v>
      </c>
      <c r="G186" s="89">
        <f>120000+110000</f>
        <v>230000</v>
      </c>
      <c r="H186" s="90"/>
      <c r="I186" s="90"/>
      <c r="J186" s="90"/>
      <c r="K186" s="89">
        <v>0</v>
      </c>
      <c r="L186" s="89"/>
      <c r="M186" s="90"/>
      <c r="N186" s="89"/>
      <c r="O186" s="90"/>
      <c r="P186" s="90"/>
      <c r="Q186" s="89">
        <f t="shared" si="62"/>
        <v>230000</v>
      </c>
      <c r="R186" s="57"/>
      <c r="S186" s="57"/>
      <c r="T186" s="56"/>
    </row>
    <row r="187" spans="1:20" s="4" customFormat="1" ht="93.75" customHeight="1">
      <c r="A187" s="78" t="s">
        <v>428</v>
      </c>
      <c r="B187" s="78" t="s">
        <v>429</v>
      </c>
      <c r="C187" s="78" t="s">
        <v>225</v>
      </c>
      <c r="D187" s="33" t="s">
        <v>427</v>
      </c>
      <c r="E187" s="3"/>
      <c r="F187" s="89">
        <f t="shared" si="61"/>
        <v>8150000</v>
      </c>
      <c r="G187" s="89">
        <f>200000+100000+1000000+5000000+250000+1000000+500000+100000</f>
        <v>8150000</v>
      </c>
      <c r="H187" s="90"/>
      <c r="I187" s="90"/>
      <c r="J187" s="90">
        <f>1550000-1550000</f>
        <v>0</v>
      </c>
      <c r="K187" s="89">
        <f>L187</f>
        <v>1300000</v>
      </c>
      <c r="L187" s="89">
        <f>1550000-500000+250000</f>
        <v>1300000</v>
      </c>
      <c r="M187" s="90"/>
      <c r="N187" s="89"/>
      <c r="O187" s="90"/>
      <c r="P187" s="90">
        <f>L187</f>
        <v>1300000</v>
      </c>
      <c r="Q187" s="89">
        <f t="shared" si="62"/>
        <v>9450000</v>
      </c>
      <c r="R187" s="57"/>
      <c r="S187" s="57"/>
      <c r="T187" s="56"/>
    </row>
    <row r="188" spans="1:20" s="6" customFormat="1" ht="90" customHeight="1">
      <c r="A188" s="107"/>
      <c r="B188" s="107" t="s">
        <v>438</v>
      </c>
      <c r="C188" s="107"/>
      <c r="D188" s="108" t="s">
        <v>166</v>
      </c>
      <c r="E188" s="107" t="s">
        <v>12</v>
      </c>
      <c r="F188" s="89">
        <f>F12+F42+F75+F114+F127+F139+F170+F178</f>
        <v>843239184.09000003</v>
      </c>
      <c r="G188" s="89">
        <f>G12+G42+G114+G127+G139+G178+G75+G170</f>
        <v>817340391</v>
      </c>
      <c r="H188" s="89">
        <f>H12+H42+H114+H127+H139+H178+H75+H170</f>
        <v>393246771</v>
      </c>
      <c r="I188" s="89">
        <f>I12+I42+I114+I127+I139+I178+I75+I170</f>
        <v>69202810</v>
      </c>
      <c r="J188" s="89">
        <f>J12+J42+J114+J127+J139+J178+J75</f>
        <v>24419203</v>
      </c>
      <c r="K188" s="89">
        <f>M188+P188</f>
        <v>170406068.28</v>
      </c>
      <c r="L188" s="89">
        <f>L12+L42+L114+L127+L139+L178+L75+L170</f>
        <v>138527890.00999999</v>
      </c>
      <c r="M188" s="89">
        <f>M12+M42+M114+M127+M139+M178+M75+M170</f>
        <v>27598877.300000001</v>
      </c>
      <c r="N188" s="89">
        <f>N12+N42+N114+N127+N139+N178+N75</f>
        <v>825400</v>
      </c>
      <c r="O188" s="89">
        <f>O12+O42+O114+O127+O139+O178+O75</f>
        <v>284800</v>
      </c>
      <c r="P188" s="89">
        <f>P12+P42+P114+P127+P139+P178+P75+P170</f>
        <v>142807190.97999999</v>
      </c>
      <c r="Q188" s="89">
        <f>F188+K188</f>
        <v>1013645252.37</v>
      </c>
      <c r="R188" s="61"/>
      <c r="S188" s="62"/>
      <c r="T188" s="63"/>
    </row>
    <row r="189" spans="1:20" s="6" customFormat="1" ht="90" customHeight="1">
      <c r="A189" s="131"/>
      <c r="B189" s="131"/>
      <c r="C189" s="131"/>
      <c r="D189" s="132"/>
      <c r="E189" s="131"/>
      <c r="F189" s="133"/>
      <c r="G189" s="133"/>
      <c r="H189" s="133"/>
      <c r="I189" s="133"/>
      <c r="J189" s="133"/>
      <c r="K189" s="133"/>
      <c r="L189" s="133"/>
      <c r="M189" s="133"/>
      <c r="N189" s="133"/>
      <c r="O189" s="133"/>
      <c r="P189" s="133"/>
      <c r="Q189" s="133"/>
      <c r="R189" s="61"/>
      <c r="S189" s="62"/>
      <c r="T189" s="63"/>
    </row>
    <row r="190" spans="1:20" s="6" customFormat="1" ht="90" customHeight="1">
      <c r="A190" s="131"/>
      <c r="B190" s="131"/>
      <c r="C190" s="131"/>
      <c r="D190" s="132"/>
      <c r="E190" s="131"/>
      <c r="F190" s="133"/>
      <c r="G190" s="133"/>
      <c r="H190" s="133"/>
      <c r="I190" s="133"/>
      <c r="J190" s="133"/>
      <c r="K190" s="133"/>
      <c r="L190" s="133"/>
      <c r="M190" s="133"/>
      <c r="N190" s="133"/>
      <c r="O190" s="133"/>
      <c r="P190" s="133"/>
      <c r="Q190" s="133"/>
      <c r="R190" s="61"/>
      <c r="S190" s="62"/>
      <c r="T190" s="63"/>
    </row>
    <row r="191" spans="1:20" s="6" customFormat="1" ht="63" customHeight="1">
      <c r="A191" s="137" t="s">
        <v>453</v>
      </c>
      <c r="B191" s="137"/>
      <c r="C191" s="137"/>
      <c r="D191" s="137"/>
      <c r="E191" s="137"/>
      <c r="F191" s="137"/>
      <c r="G191" s="137"/>
      <c r="H191" s="137"/>
      <c r="I191" s="137"/>
      <c r="J191" s="137"/>
      <c r="K191" s="137"/>
      <c r="L191" s="137"/>
      <c r="M191" s="137"/>
      <c r="N191" s="137"/>
      <c r="O191" s="137"/>
      <c r="P191" s="137"/>
      <c r="Q191" s="137"/>
      <c r="R191" s="23"/>
      <c r="S191" s="24"/>
      <c r="T191" s="7"/>
    </row>
    <row r="192" spans="1:20" s="6" customFormat="1" ht="57.2" customHeight="1">
      <c r="A192" s="105"/>
      <c r="B192" s="105"/>
      <c r="C192" s="105"/>
      <c r="D192" s="105"/>
      <c r="E192" s="105"/>
      <c r="F192" s="105"/>
      <c r="G192" s="106"/>
      <c r="H192" s="106"/>
      <c r="I192" s="106"/>
      <c r="J192" s="106"/>
      <c r="K192" s="106"/>
      <c r="L192" s="106"/>
      <c r="M192" s="106"/>
      <c r="N192" s="106"/>
      <c r="O192" s="106"/>
      <c r="P192" s="106"/>
      <c r="Q192" s="106"/>
      <c r="T192" s="7"/>
    </row>
    <row r="193" spans="1:20" s="14" customFormat="1" ht="21.75" customHeight="1">
      <c r="A193" s="105"/>
      <c r="B193" s="105"/>
      <c r="C193" s="105"/>
      <c r="D193" s="105"/>
      <c r="E193" s="105"/>
      <c r="F193" s="105"/>
      <c r="G193" s="106"/>
      <c r="H193" s="106"/>
      <c r="I193" s="106"/>
      <c r="J193" s="106"/>
      <c r="K193" s="106"/>
      <c r="L193" s="106"/>
      <c r="M193" s="106"/>
      <c r="N193" s="106"/>
      <c r="O193" s="106"/>
      <c r="P193" s="106"/>
      <c r="Q193" s="106"/>
      <c r="T193" s="15"/>
    </row>
    <row r="196" spans="1:20" ht="24.75" customHeight="1">
      <c r="F196" s="118"/>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191:Q191"/>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4" manualBreakCount="4">
    <brk id="41" max="16" man="1"/>
    <brk id="63" max="16" man="1"/>
    <brk id="103" max="16" man="1"/>
    <brk id="12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2025-04-24T11:23:23Z</cp:lastPrinted>
  <dcterms:created xsi:type="dcterms:W3CDTF">2002-10-09T16:25:59Z</dcterms:created>
  <dcterms:modified xsi:type="dcterms:W3CDTF">2025-08-14T13:04:22Z</dcterms:modified>
</cp:coreProperties>
</file>